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2540" windowHeight="8820" tabRatio="698" firstSheet="1" activeTab="1"/>
  </bookViews>
  <sheets>
    <sheet name="2017" sheetId="1" state="hidden" r:id="rId1"/>
    <sheet name="раздел 1 2020" sheetId="2" r:id="rId2"/>
    <sheet name="2021" sheetId="3" r:id="rId3"/>
    <sheet name="СВОД от Фонда" sheetId="4" state="hidden" r:id="rId4"/>
    <sheet name="Конечный вариант" sheetId="5" state="hidden" r:id="rId5"/>
  </sheets>
  <externalReferences>
    <externalReference r:id="rId8"/>
  </externalReferences>
  <definedNames>
    <definedName name="_xlnm._FilterDatabase" localSheetId="0" hidden="1">'2017'!$A$9:$U$81</definedName>
    <definedName name="_xlnm._FilterDatabase" localSheetId="2" hidden="1">'2021'!$A$9:$N$9</definedName>
    <definedName name="BossProviderVariable?_bef1f6a1_9e1f_4ce9_9db9_e05bfccf0100" hidden="1">"25_01_2006"</definedName>
    <definedName name="_xlnm.Print_Area" localSheetId="0">'2017'!$A$1:$U$84</definedName>
    <definedName name="_xlnm.Print_Area" localSheetId="2">'2021'!$A$1:$L$146</definedName>
    <definedName name="_xlnm.Print_Area" localSheetId="1">'раздел 1 2020'!$A$1:$S$157</definedName>
  </definedNames>
  <calcPr fullCalcOnLoad="1"/>
</workbook>
</file>

<file path=xl/sharedStrings.xml><?xml version="1.0" encoding="utf-8"?>
<sst xmlns="http://schemas.openxmlformats.org/spreadsheetml/2006/main" count="3268" uniqueCount="570">
  <si>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</si>
  <si>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</si>
  <si>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</si>
  <si>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</si>
  <si>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</si>
  <si>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</si>
  <si>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</si>
  <si>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</si>
  <si>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</si>
  <si>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</si>
  <si>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</si>
  <si>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</si>
  <si>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</si>
  <si>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</si>
  <si>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</si>
  <si>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</si>
  <si>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</si>
  <si>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</si>
  <si>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</si>
  <si>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</si>
  <si>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</si>
  <si>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</si>
  <si>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</si>
  <si>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</si>
  <si>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</si>
  <si>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</si>
  <si>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</si>
  <si>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</si>
  <si>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</si>
  <si>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</si>
  <si>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</si>
  <si>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</si>
  <si>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</si>
  <si>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</si>
  <si>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</si>
  <si>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</si>
  <si>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</si>
  <si>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</si>
  <si>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</si>
  <si>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</si>
  <si>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</si>
  <si>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</si>
  <si>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</si>
  <si>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</si>
  <si>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</si>
  <si>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</si>
  <si>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</si>
  <si>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</si>
  <si>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</si>
  <si>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</si>
  <si>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</si>
  <si>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</si>
  <si>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</si>
  <si>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</si>
  <si>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</si>
  <si>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</si>
  <si>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</si>
  <si>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</si>
  <si>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</si>
  <si>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</si>
  <si>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</si>
  <si>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</si>
  <si>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</si>
  <si>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</si>
  <si>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</si>
  <si>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</si>
  <si>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</si>
  <si>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</si>
  <si>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</si>
  <si>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</si>
  <si>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</si>
  <si>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</si>
  <si>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</si>
  <si>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</si>
  <si>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</si>
  <si>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</si>
  <si>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</si>
  <si>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</si>
  <si>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</si>
  <si>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</si>
  <si>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</si>
  <si>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</si>
  <si>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</si>
  <si>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</si>
  <si>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</si>
  <si>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</si>
  <si>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</si>
  <si>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</si>
  <si>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</si>
  <si>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</si>
  <si>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</si>
  <si>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</si>
  <si>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</si>
  <si>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</si>
  <si>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</si>
  <si>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</si>
  <si>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</si>
  <si>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</si>
  <si>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</si>
  <si>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</si>
  <si>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</si>
  <si>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</si>
  <si>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</si>
  <si>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</si>
  <si>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</si>
  <si>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</si>
  <si>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</si>
  <si>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</si>
  <si>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</si>
  <si>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</si>
  <si>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</si>
  <si>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</si>
  <si>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</si>
  <si>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</si>
  <si>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</si>
  <si>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</si>
  <si>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</si>
  <si>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</si>
  <si>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</si>
  <si>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</si>
  <si>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</si>
  <si>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</si>
  <si>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</si>
  <si>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</si>
  <si>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</si>
  <si>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</si>
  <si>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</si>
  <si>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</si>
  <si>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</si>
  <si>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</si>
  <si>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</si>
  <si>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</si>
  <si>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</si>
  <si>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</si>
  <si>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</si>
  <si>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</si>
  <si>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</si>
  <si>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</si>
  <si>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</si>
  <si>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</si>
  <si>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</si>
  <si>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</si>
  <si>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</si>
  <si>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</si>
  <si>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</si>
  <si>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</si>
  <si>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</si>
  <si>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</si>
  <si>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</si>
  <si>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</si>
  <si>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</si>
  <si>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</si>
  <si>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</si>
  <si>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</si>
  <si>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</si>
  <si>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</si>
  <si>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</si>
  <si>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</si>
  <si>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</si>
  <si>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</si>
  <si>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</si>
  <si>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</si>
  <si>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</si>
  <si>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</si>
  <si>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</si>
  <si>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</si>
  <si>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</si>
  <si>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</si>
  <si>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</si>
  <si>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</si>
  <si>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</si>
  <si>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</si>
  <si>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</si>
  <si>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</si>
  <si>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</si>
  <si>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</si>
  <si>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</si>
  <si>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</si>
  <si>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</si>
  <si>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</si>
  <si>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</si>
  <si>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</si>
  <si>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</si>
  <si>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</si>
  <si>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</si>
  <si>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</si>
  <si>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</si>
  <si>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</si>
  <si>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</si>
  <si>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</si>
  <si>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</si>
  <si>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</si>
  <si>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</si>
  <si>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</si>
  <si>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</si>
  <si>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</si>
  <si>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</si>
  <si>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</si>
  <si>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</si>
  <si>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</si>
  <si>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</si>
  <si>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</si>
  <si>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</si>
  <si>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</si>
  <si>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</si>
  <si>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</si>
  <si>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</si>
  <si>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</si>
  <si>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</si>
  <si>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</si>
  <si>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</si>
  <si>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</si>
  <si>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</si>
  <si>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</si>
  <si>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</si>
  <si>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</si>
  <si>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</si>
  <si>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</si>
  <si>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</si>
  <si>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</si>
  <si>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</si>
  <si>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</si>
  <si>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</si>
  <si>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</si>
  <si>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</si>
  <si>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</si>
  <si>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</si>
  <si>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</si>
  <si>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</si>
  <si>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</si>
  <si>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</si>
  <si>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</si>
  <si>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</si>
  <si>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</si>
  <si>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</si>
  <si>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</si>
  <si>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</si>
  <si>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</si>
  <si>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</si>
  <si>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</si>
  <si>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</si>
  <si>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</si>
  <si>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</si>
  <si>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</si>
  <si>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</si>
  <si>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</si>
  <si>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</si>
  <si>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</si>
  <si>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</si>
  <si>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</si>
  <si>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</si>
  <si>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</si>
  <si>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</si>
  <si>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</si>
  <si>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</si>
  <si>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</si>
  <si>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</si>
  <si>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</si>
  <si>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</si>
  <si>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</si>
  <si>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</si>
  <si>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</si>
  <si>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</si>
  <si>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</si>
  <si>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</si>
  <si>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</si>
  <si>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</si>
  <si>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</si>
  <si>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</si>
  <si>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</si>
  <si>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</si>
  <si>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</si>
  <si>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</si>
  <si>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</si>
  <si>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</si>
  <si>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</si>
  <si>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</si>
  <si>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</si>
  <si>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</si>
  <si>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</si>
  <si>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</si>
  <si>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</si>
  <si>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</si>
  <si>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</si>
  <si>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</si>
  <si>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</si>
  <si>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</si>
  <si>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</si>
  <si>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</si>
  <si>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</si>
  <si>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</si>
  <si>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</si>
  <si>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</si>
  <si>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</si>
  <si>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</si>
  <si>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</si>
  <si>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</si>
  <si>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</si>
  <si>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</si>
  <si>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</si>
  <si>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</si>
  <si>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</si>
  <si>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</si>
  <si>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</si>
  <si>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</si>
  <si>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</si>
  <si>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</si>
  <si>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</si>
  <si>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</si>
  <si>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</si>
  <si>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</si>
  <si>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</si>
  <si>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</si>
  <si>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</si>
  <si>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</si>
  <si>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</si>
  <si>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</si>
  <si>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</si>
  <si>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</si>
  <si>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</si>
  <si>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</si>
  <si>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</si>
  <si>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</si>
  <si>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</si>
  <si>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</si>
  <si>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</si>
  <si>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>V. Перечень многоквратирных домов, лифтовое оборудование которых подлежат капитальному ремонту в 2017 году, с оплатой в рассрочку с 2018 по 2021 год</t>
  </si>
  <si>
    <t xml:space="preserve">Стоимость капитального ремонта или замены лифтового оборудования, в том числе                            </t>
  </si>
  <si>
    <t>Бокситогорский муниципальный район</t>
  </si>
  <si>
    <t>Муниципальное образование Город Пикалево</t>
  </si>
  <si>
    <t>Г. Пикалево, микрорайон 3, д.4</t>
  </si>
  <si>
    <t>Г. Пикалево, микрорайон 3, д.5</t>
  </si>
  <si>
    <t>Г. Пикалево, микрорайон 3, д.7</t>
  </si>
  <si>
    <t>Итого по Бокситогорскому муниципальному району</t>
  </si>
  <si>
    <t>Волховский муниципальный район</t>
  </si>
  <si>
    <t>Муниципальное образование Город Волхов</t>
  </si>
  <si>
    <t>Г. Волхов, ул. Авиационная, д. 34</t>
  </si>
  <si>
    <t>Г. Волхов, ул. Авиационная, д. 36</t>
  </si>
  <si>
    <t>Итого по Волховскому муниципальному району</t>
  </si>
  <si>
    <t>Муниципальное образование "Город Всеволожск"</t>
  </si>
  <si>
    <t xml:space="preserve">Г. Всеволожск, ул. Ленинградская, д. 11  </t>
  </si>
  <si>
    <t>Г. Всеволожск, ул. Ленинградская, д. 15, корпус 2</t>
  </si>
  <si>
    <t>Г. Всеволожск, ул. Ленинградская, д. 19, корп. 2</t>
  </si>
  <si>
    <t>Г. Всеволожск, ул. Ленинградская, д. 19, корп. 3</t>
  </si>
  <si>
    <t xml:space="preserve">Г. Всеволожск, ул. Ленинградская, д. 34/82  </t>
  </si>
  <si>
    <t xml:space="preserve">Г. Всеволожск, ул. Межевая, д. 12/75  </t>
  </si>
  <si>
    <t xml:space="preserve">Г. Всеволожск, ул. Плоткина, д. 1  </t>
  </si>
  <si>
    <t xml:space="preserve">Г. Всеволожск, ул. Плоткина, д. 15  </t>
  </si>
  <si>
    <t xml:space="preserve">Г. Всеволожск, ул. Плоткина, д. 5  </t>
  </si>
  <si>
    <t>Г. Всеволожск, ш. Колтушское, д. 80, корпус 1</t>
  </si>
  <si>
    <t>Г. Всеволожск, ш. Колтушское, д. 80, корпус 2</t>
  </si>
  <si>
    <t>Г. Всеволожск, ул. Ленинградская, д. 20, корп. 2</t>
  </si>
  <si>
    <t>Г. Всеволожск, ул. Московская, д. 10</t>
  </si>
  <si>
    <t xml:space="preserve">Г. Всеволожск, ул. Московская, д. 12  </t>
  </si>
  <si>
    <t>Г. Всеволожск, ул. Московская, д. 3</t>
  </si>
  <si>
    <t>Г. Всеволожск, ул. Московская, д. 5</t>
  </si>
  <si>
    <t>Г. Всеволожск, ул. Московская, д. 7</t>
  </si>
  <si>
    <t>Г. Всеволожск, ул. Московская, д. 8</t>
  </si>
  <si>
    <t>Муниципальное образование Новодевяткинское сельское поселение</t>
  </si>
  <si>
    <t>Дер. Новое Девяткино,  ул. Лесная, д.2</t>
  </si>
  <si>
    <t>Дер. Новое Девяткино,  ул. Лесная, д.6</t>
  </si>
  <si>
    <t>Дер. Новое Девяткино, ул. Энергетиков, д. 2</t>
  </si>
  <si>
    <t xml:space="preserve">Дер. Новое Девяткино, ул. Озерная, д. 3  </t>
  </si>
  <si>
    <t xml:space="preserve">Дер. Новое Девяткино, ул. Озерная, д. 5  </t>
  </si>
  <si>
    <t>Муниципальное образование "Сертолово"</t>
  </si>
  <si>
    <t xml:space="preserve">Г. Сертолово, микрорайон Сертолово-1, ул. Ветеранов, д. 9  </t>
  </si>
  <si>
    <t>панель/кирпич</t>
  </si>
  <si>
    <t xml:space="preserve">панель </t>
  </si>
  <si>
    <t>монолит</t>
  </si>
  <si>
    <t>блочный</t>
  </si>
  <si>
    <t>пн</t>
  </si>
  <si>
    <t>бт</t>
  </si>
  <si>
    <t>з/бт</t>
  </si>
  <si>
    <t>пн керамзито-бт</t>
  </si>
  <si>
    <t>к/пн</t>
  </si>
  <si>
    <t>Г. Сертолово, микрорайон Сертолово-1, ул. Молодежная, д. 8, корп. 1</t>
  </si>
  <si>
    <t xml:space="preserve"> за счет средств областного бюджета </t>
  </si>
  <si>
    <t xml:space="preserve"> за счет средств собственников</t>
  </si>
  <si>
    <t>за счет средств собственников</t>
  </si>
  <si>
    <t>Стоимость технического освидетельствования</t>
  </si>
  <si>
    <t xml:space="preserve">Г. Сертолово, микрорайон Сертолово-1, ул. Ветеранов, д. 7  </t>
  </si>
  <si>
    <t xml:space="preserve">Г. Сертолово, микрорайон Сертолово-1, ул. Молодежная, д. 7  </t>
  </si>
  <si>
    <t xml:space="preserve">Г. Сертолово, микрорайон Сертолово-1, ул. Молодцова, д. 10  </t>
  </si>
  <si>
    <t xml:space="preserve">Г. Сертолово, микрорайон Сертолово-1, ул. Молодцова, д. 11  </t>
  </si>
  <si>
    <t xml:space="preserve">Г. Сертолово, микрорайон Сертолово-1, ул. Молодцова, д. 12  </t>
  </si>
  <si>
    <t xml:space="preserve">Г. Сертолово, микрорайон Сертолово-1, ул. Молодцова, д. 13  </t>
  </si>
  <si>
    <t xml:space="preserve">Г. Сертолово, микрорайон Сертолово-1, ул. Молодцова, д. 14  </t>
  </si>
  <si>
    <t>Г. Сертолово, микрорайон Сертолово-1, ул. Молодцова, д. 15, корп. 1</t>
  </si>
  <si>
    <t>Г. Сертолово, микрорайон Сертолово-1, ул. Молодцова, д. 15, корп. 2</t>
  </si>
  <si>
    <t xml:space="preserve">Г. Сертолово, микрорайон Сертолово-1, ул. Молодцова, д. 9  </t>
  </si>
  <si>
    <t xml:space="preserve">Г. Сертолово, микрорайон Сертолово-1, ул. Центральная, д. 2  </t>
  </si>
  <si>
    <t>Г. Сертолово, микрорайон Сертолово-1, ул. Центральная, д. 4, корп. 1</t>
  </si>
  <si>
    <t>Г. Сертолово, микрорайон Сертолово-1, ул. Центральная, д. 4, корп. 2</t>
  </si>
  <si>
    <t>Проектные работы</t>
  </si>
  <si>
    <t>ВСЕГО</t>
  </si>
  <si>
    <t>Раздел I. Перечень многоквартирных домов, лифтовое оборудование которых подлежит капитальному ремонту в 2020 году,  с учетом мер государственной поддержки</t>
  </si>
  <si>
    <t>Дер. Новое Девяткино, ул. Славы, д. 10</t>
  </si>
  <si>
    <t>Дер. Новое Девяткино, ул. Славы, д. 7</t>
  </si>
  <si>
    <t>Дер. Новое Девяткино, ул. Ветеранов, д.14</t>
  </si>
  <si>
    <t>Дер. Новое Девяткино, ул. Озерная, д.7</t>
  </si>
  <si>
    <t xml:space="preserve">Дер. Новое Девяткино, ул. Озерная, д. 9 </t>
  </si>
  <si>
    <t>Дер. Новое Девяткино, ул.Энергетиков, д.6</t>
  </si>
  <si>
    <t>Дер. Новое Девяткино, ул. Капральская, д. 19</t>
  </si>
  <si>
    <t>Выборгский  район</t>
  </si>
  <si>
    <t xml:space="preserve">Г. Выборг, ш. Ленинградское, д. 51а  </t>
  </si>
  <si>
    <t xml:space="preserve">Г. Выборг, ул. Офицерская, д. 16  </t>
  </si>
  <si>
    <t xml:space="preserve">Г. Выборг, ул. Приморская, д. 40  </t>
  </si>
  <si>
    <t xml:space="preserve">Г. Выборг, ул. Приморская, д. 36  </t>
  </si>
  <si>
    <t xml:space="preserve">Г. Выборг, ул. Приморская, д. 53  </t>
  </si>
  <si>
    <t xml:space="preserve">Г. Выборг, ул. Травяная, д. 6  </t>
  </si>
  <si>
    <t xml:space="preserve">Г. Выборг, просп. Московский, д. 10 </t>
  </si>
  <si>
    <t xml:space="preserve">Г. Выборг, просп. Победы, д. 6  </t>
  </si>
  <si>
    <t xml:space="preserve">Г. Выборг, ул. Аристарха Макарова, д. 4  </t>
  </si>
  <si>
    <t xml:space="preserve">Г. Выборг, ул. Гагарина, д. 71  </t>
  </si>
  <si>
    <t>Гатчинский муниципальный район</t>
  </si>
  <si>
    <t>Г. Гатчина, просп. 25 Октября, д. 50, кор. 1</t>
  </si>
  <si>
    <t>Г. Гатчина, ул. Авиатриссы Зверевой, д. 15</t>
  </si>
  <si>
    <t>Г. Гатчина, ул. Авиатриссы Зверевой, д. 20</t>
  </si>
  <si>
    <t>Г. Гатчина, ул. Авиатриссы Зверевой, д. 3</t>
  </si>
  <si>
    <t>Г. Гатчина, ул. Володарского, д. 25А</t>
  </si>
  <si>
    <t>Итого по Гатчинскому муниципальному району</t>
  </si>
  <si>
    <t>Г. Кировск, ул. Ладожская, д. 22</t>
  </si>
  <si>
    <t>Г. Кировск, ул. Новая, д. 13, кор. 1</t>
  </si>
  <si>
    <t>Г. Кировск, ул. Новая, д. 13, кор. 2</t>
  </si>
  <si>
    <t>Г. Кировск, ул. Северная, д. 17</t>
  </si>
  <si>
    <t>Муниципальное образование Отрадненское городское поселение</t>
  </si>
  <si>
    <t>Г. Отрадное, ул. Железнодорожная, д. 15</t>
  </si>
  <si>
    <t>Г. Отрадное, ул. Зарубина, д. 11а</t>
  </si>
  <si>
    <t>Г. Отрадное, ул. Лесная, д. 6</t>
  </si>
  <si>
    <t>Г. Отрадное, ул. Советская, д. 25</t>
  </si>
  <si>
    <t>Муниципальное образование Русско-Высоцкое сельское поселение</t>
  </si>
  <si>
    <t>С. Русско-Высоцкое, д. 25</t>
  </si>
  <si>
    <t>Сосновоборский городской округ</t>
  </si>
  <si>
    <t>Г. Сосновый Бор, ул. Парковая, д. 18</t>
  </si>
  <si>
    <t>Г. Сосновый Бор, ул. Парковая, д. 22</t>
  </si>
  <si>
    <t>Г. Сосновый Бор, ул. Парковая, д. 24</t>
  </si>
  <si>
    <t>Г. Сосновый Бор, ул. Парковая, д. 44</t>
  </si>
  <si>
    <t>Г. Сосновый Бор, ул. Молодежная, д. 54</t>
  </si>
  <si>
    <t>Г. Сосновый Бор, ул. Ленинградская, д. 30</t>
  </si>
  <si>
    <t>Г. Сосновый Бор, ул. Солнечная, д. 23а</t>
  </si>
  <si>
    <t>Г. Сланцы, просп. Молодежный, д. 13</t>
  </si>
  <si>
    <t>Г. Сланцы, ул. Гагарина, д. 1</t>
  </si>
  <si>
    <t>Г. Сланцы, ул. Ленина, д. 25, кор. 1</t>
  </si>
  <si>
    <t>Г. Сланцы, ул. Ленина, д. 25, кор. 4</t>
  </si>
  <si>
    <t>Г. Сланцы, ул. Ленина, д. 25, кор. 6</t>
  </si>
  <si>
    <t>Г. Сланцы, ул. Спортивная, д. 9/2</t>
  </si>
  <si>
    <t>Г. Сланцы, ул. Шахтерской Славы, д. 14, корп. 1</t>
  </si>
  <si>
    <t>Г. Сланцы, ул. Шахтерской Славы, д. 9б</t>
  </si>
  <si>
    <t>Тосненский район</t>
  </si>
  <si>
    <t>Г. Тосно, ул. М. Горького, д. 4</t>
  </si>
  <si>
    <t>Г. Тосно, ул. Победы, д. 19А</t>
  </si>
  <si>
    <t>ж/б</t>
  </si>
  <si>
    <t>Итого по Сосновоборскому городскому округу</t>
  </si>
  <si>
    <t>Муниципальное образование Город Гатчина</t>
  </si>
  <si>
    <t>Муниципальное образование Муринское городское поселение</t>
  </si>
  <si>
    <t>Муниципальное образование "Город Выборг"</t>
  </si>
  <si>
    <t>Кер.блок</t>
  </si>
  <si>
    <t>Кер.бет.</t>
  </si>
  <si>
    <t>шлакоблоки, кирпич</t>
  </si>
  <si>
    <t>7 и 8</t>
  </si>
  <si>
    <t>1992</t>
  </si>
  <si>
    <t xml:space="preserve"> 5;7</t>
  </si>
  <si>
    <t>5,7,9</t>
  </si>
  <si>
    <t>Блочный Ж/Б</t>
  </si>
  <si>
    <t xml:space="preserve">Г.п. Кузьмоловский, ул. Железнодорожная, д. 4  </t>
  </si>
  <si>
    <t xml:space="preserve">Г.п. Кузьмоловский, ул. Ленинградское шоссе, д. 10  </t>
  </si>
  <si>
    <t xml:space="preserve">Г.п. Кузьмоловский, ул. Ленинградское шоссе, д. 12  </t>
  </si>
  <si>
    <t xml:space="preserve">Г.п. Кузьмоловский, ул. Ленинградское шоссе, д. 2  </t>
  </si>
  <si>
    <t xml:space="preserve">Г.п. Кузьмоловский, ул. Ленинградское шоссе, д. 4  </t>
  </si>
  <si>
    <t>Муниципальное образование Токсовское городское поселение</t>
  </si>
  <si>
    <t>Г.п. Кузьмоловский, ул. Железнодорожная, д. 18а</t>
  </si>
  <si>
    <t>Волосовский муниципальный  район</t>
  </si>
  <si>
    <t>Муниципальное образование  Клопицкое сельское поселение</t>
  </si>
  <si>
    <t>д. Клопицы, д. 15</t>
  </si>
  <si>
    <t>Итого по Волосовскому мцниципальному району</t>
  </si>
  <si>
    <t>Выборгский район</t>
  </si>
  <si>
    <t>Муниципальное образование  Светогорское городское поселение</t>
  </si>
  <si>
    <t>Г. Светогорск, ул. Победы, д.21</t>
  </si>
  <si>
    <t>Г. Светогорск, ул. Победы, д.23</t>
  </si>
  <si>
    <t>Г. Светогорск, ул. Победы, д.29а</t>
  </si>
  <si>
    <t>Г. Светогорск, ул. Пограничная, д. 7</t>
  </si>
  <si>
    <t>Пос. Лесогорский, ул. Гагарина, д. 13</t>
  </si>
  <si>
    <t>Пос. Лесогорский, ш. Ленинградское, д. 32</t>
  </si>
  <si>
    <t>Муниципальное образование Селезневское сельское поселение</t>
  </si>
  <si>
    <t>Пос. Селезнево, пер. Свекловичный, д. 10</t>
  </si>
  <si>
    <t>Муниципальное образование Веревское сельское поселение</t>
  </si>
  <si>
    <t>д.Зайцево, д.8</t>
  </si>
  <si>
    <t>Муниципальное образование Дружногорское городское поселение</t>
  </si>
  <si>
    <t>Пос. Дружная Горка, ул. Садовая, д. 8</t>
  </si>
  <si>
    <t>Муниципальное образование Коммунарское городское поселение</t>
  </si>
  <si>
    <t>Г. Коммунар, ш. Ленинградское, д. 6</t>
  </si>
  <si>
    <t>Муниципальное образование Сиверское городское поселение</t>
  </si>
  <si>
    <t>Г.п. Сиверский, ул. Красная, д. 57</t>
  </si>
  <si>
    <t>Пос. Дружноселье, ул. ДПБ, д. 1</t>
  </si>
  <si>
    <t>Пос. Дружноселье, ул. ДПБ, д. 2</t>
  </si>
  <si>
    <t>Муниципальное образование Сяськелевское сельское поселение</t>
  </si>
  <si>
    <t>Дер. Туганицы, д. 2</t>
  </si>
  <si>
    <t>Г. Кировск, ул. Победы, д. 13</t>
  </si>
  <si>
    <t>Г. Кировск, ул. Победы, д. 15</t>
  </si>
  <si>
    <t>Г. Кировск, ул. Победы, д. 17</t>
  </si>
  <si>
    <t>Г. Кировск, ул. Победы, д. 23</t>
  </si>
  <si>
    <t>Г. Кировск, ул. Победы, д. 25</t>
  </si>
  <si>
    <t>Г. Кировск, ул. Победы, д. 27/1</t>
  </si>
  <si>
    <t>Муниципальное образование Назиевское городское поселение</t>
  </si>
  <si>
    <t>Пос. Назия, просп. Комсомольский, д. 11</t>
  </si>
  <si>
    <t>Пос. Назия, просп. Комсомольский, д. 2</t>
  </si>
  <si>
    <t>Пос. Назия, просп. Комсомольский, д. 4</t>
  </si>
  <si>
    <t>Пос. Назия, просп. Комсомольский, д. 6</t>
  </si>
  <si>
    <t>Пос. Назия, просп. Комсомольский, д. 8</t>
  </si>
  <si>
    <t>Пос. Назия, пр. Школьный, д. 27</t>
  </si>
  <si>
    <t>Пос. Назия, ул. Торфяников, д. 6</t>
  </si>
  <si>
    <t>Муниципальное образование Лопухинское сельское поселение</t>
  </si>
  <si>
    <t>Дер. Лопухинка, ул. Первомайская, д. 11</t>
  </si>
  <si>
    <t>Муниципальное образование Важинское городское поселение</t>
  </si>
  <si>
    <t>Г.п. Важины, ул. Школьная, д. 4</t>
  </si>
  <si>
    <t>Г.п. Важины, ул. Школьная, д. 5</t>
  </si>
  <si>
    <t>Г.п. Важины, ул. Школьная, д. 7а</t>
  </si>
  <si>
    <t>Г. Подпорожье, пр. Механический, д. 36</t>
  </si>
  <si>
    <t>Г. Подпорожье, ул. Красноармейская, д. 13</t>
  </si>
  <si>
    <t>Г. Сланцы, ул. Кирова, д. 30</t>
  </si>
  <si>
    <t>Г. Тосно, ш. Московское, д. 13</t>
  </si>
  <si>
    <t>Г. Сосновый Бор, ул. Ленинградская, д. 12</t>
  </si>
  <si>
    <t>Г.п. Токсово, ул. Инженерная, д. 2</t>
  </si>
  <si>
    <t>Г. Луга, просп. Кирова, д. 31</t>
  </si>
  <si>
    <t>Муниципальное образование Оржицкое сельское поселение</t>
  </si>
  <si>
    <t>Дер. Оржицы, д. 24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</si>
  <si>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</si>
  <si>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</si>
  <si>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"Кузьмоловское городское поселение"</t>
  </si>
  <si>
    <t xml:space="preserve">Стоимость капитального ремонта фасадов, в том числе                            </t>
  </si>
  <si>
    <t>кирпичный</t>
  </si>
  <si>
    <t>паналь</t>
  </si>
  <si>
    <t>дерево</t>
  </si>
  <si>
    <t>ж/б панели</t>
  </si>
  <si>
    <t>шл\блочный</t>
  </si>
  <si>
    <t xml:space="preserve">крупнопанельный </t>
  </si>
  <si>
    <t>169</t>
  </si>
  <si>
    <t>Г.п. Кузьмоловский, ул. Железнодорожная, д. 14</t>
  </si>
  <si>
    <t xml:space="preserve">Г. Выборг, ул. Мира, д. 7а  </t>
  </si>
  <si>
    <t>Муниципальное образование Город Выборг</t>
  </si>
  <si>
    <t>Муниципальное образование Каменногорское городское поселение</t>
  </si>
  <si>
    <t>Г. Каменногорск, ш. Ленинградское, д. 84</t>
  </si>
  <si>
    <t>Г. Тосно, ул. М. Горького, д.12а</t>
  </si>
  <si>
    <t>Г. Тосно, ул. Октябрьская, д. 77</t>
  </si>
  <si>
    <t>Г. Тосно, ул. Советская, д.11</t>
  </si>
  <si>
    <t>Муниципальное образование Город Всеволожск</t>
  </si>
  <si>
    <t xml:space="preserve">Г. Всеволожск, ш. Колтушское, д. 91  </t>
  </si>
  <si>
    <t>Г. Всеволожск, ш. Колтушское, д. 92</t>
  </si>
  <si>
    <t>Г. Всеволожск, ш. Колтушское, д. 93</t>
  </si>
  <si>
    <t>Г. Кировск, ул. Пушкина, д. 8/24</t>
  </si>
  <si>
    <t>кирптчный</t>
  </si>
  <si>
    <t>Г. Всеволожск, ш. Колтушское, д. 95</t>
  </si>
  <si>
    <t>Г. Всеволожск, Ул.Колтушское ш.84</t>
  </si>
  <si>
    <t>Г. Всеволожск, Ул.Колтушское ш.137</t>
  </si>
  <si>
    <t>Дер. Рапполово, ул. Овражная, д. 13</t>
  </si>
  <si>
    <t>Муниципальное образование Скребловское сельское поселение</t>
  </si>
  <si>
    <t>Пос. Скреблово, д. 10</t>
  </si>
  <si>
    <t>Г. Кировск, ул. Кирова, д.6</t>
  </si>
  <si>
    <t>Раздел II. Перечень многоквартирных домов,  фасады которых подлежат капитальному ремонту в 2021 году,  с учетом мер государственной поддержки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</si>
  <si>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</si>
  <si>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УТВЕРЖДЕН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</si>
  <si>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</si>
  <si>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</si>
  <si>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</si>
  <si>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</si>
  <si>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</si>
  <si>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от 29 декабря 2020 года N 887)</t>
  </si>
  <si>
    <t>(приложение 3)</t>
  </si>
  <si>
    <t xml:space="preserve">г. Мурино, ул. Оборонная, д. 20  </t>
  </si>
  <si>
    <t xml:space="preserve">г. Мурино, ул. Оборонная, д. 22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</si>
</sst>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###\ ###\ ###\ ##0"/>
    <numFmt numFmtId="180" formatCode="###\ ###\ ###\ ##0.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mmm/yyyy"/>
    <numFmt numFmtId="189" formatCode="#,##0.00000"/>
    <numFmt numFmtId="190" formatCode="#,##0.000000"/>
    <numFmt numFmtId="191" formatCode="_-* #,##0.000_р_._-;\-* #,##0.000_р_._-;_-* &quot;-&quot;??_р_._-;_-@_-"/>
    <numFmt numFmtId="192" formatCode="_-* #,##0.0_р_._-;\-* #,##0.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3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62" applyNumberFormat="1" applyFont="1" applyFill="1" applyBorder="1" applyAlignment="1">
      <alignment horizontal="center"/>
      <protection/>
    </xf>
    <xf numFmtId="0" fontId="7" fillId="35" borderId="10" xfId="70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74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174" fontId="8" fillId="33" borderId="13" xfId="0" applyNumberFormat="1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174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4" fontId="4" fillId="33" borderId="10" xfId="0" applyNumberFormat="1" applyFont="1" applyFill="1" applyBorder="1" applyAlignment="1" quotePrefix="1">
      <alignment horizont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7" fillId="37" borderId="10" xfId="0" applyNumberFormat="1" applyFont="1" applyFill="1" applyBorder="1" applyAlignment="1">
      <alignment horizontal="right" vertical="center"/>
    </xf>
    <xf numFmtId="4" fontId="11" fillId="37" borderId="10" xfId="0" applyNumberFormat="1" applyFont="1" applyFill="1" applyBorder="1" applyAlignment="1">
      <alignment horizontal="right" vertical="center"/>
    </xf>
    <xf numFmtId="4" fontId="8" fillId="37" borderId="11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2" fontId="11" fillId="37" borderId="10" xfId="97" applyNumberFormat="1" applyFont="1" applyFill="1" applyBorder="1" applyAlignment="1">
      <alignment vertical="center" wrapText="1"/>
      <protection/>
    </xf>
    <xf numFmtId="3" fontId="11" fillId="37" borderId="10" xfId="0" applyNumberFormat="1" applyFont="1" applyFill="1" applyBorder="1" applyAlignment="1">
      <alignment horizontal="center" vertical="center"/>
    </xf>
    <xf numFmtId="4" fontId="8" fillId="37" borderId="12" xfId="0" applyNumberFormat="1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/>
    </xf>
    <xf numFmtId="4" fontId="8" fillId="37" borderId="12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4" fontId="4" fillId="37" borderId="12" xfId="0" applyNumberFormat="1" applyFont="1" applyFill="1" applyBorder="1" applyAlignment="1">
      <alignment horizontal="left" vertical="center" wrapText="1"/>
    </xf>
    <xf numFmtId="1" fontId="4" fillId="37" borderId="10" xfId="0" applyNumberFormat="1" applyFont="1" applyFill="1" applyBorder="1" applyAlignment="1">
      <alignment horizontal="center" vertical="center"/>
    </xf>
    <xf numFmtId="1" fontId="8" fillId="37" borderId="12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horizontal="left" vertical="center"/>
    </xf>
    <xf numFmtId="1" fontId="11" fillId="37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/>
    </xf>
    <xf numFmtId="14" fontId="11" fillId="37" borderId="10" xfId="0" applyNumberFormat="1" applyFont="1" applyFill="1" applyBorder="1" applyAlignment="1">
      <alignment horizontal="center" vertical="center"/>
    </xf>
    <xf numFmtId="0" fontId="11" fillId="37" borderId="10" xfId="0" applyNumberFormat="1" applyFont="1" applyFill="1" applyBorder="1" applyAlignment="1">
      <alignment horizontal="left" vertical="center"/>
    </xf>
    <xf numFmtId="4" fontId="4" fillId="37" borderId="10" xfId="0" applyNumberFormat="1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center" vertical="center" wrapText="1"/>
    </xf>
    <xf numFmtId="171" fontId="8" fillId="37" borderId="10" xfId="116" applyNumberFormat="1" applyFont="1" applyFill="1" applyBorder="1" applyAlignment="1">
      <alignment horizontal="center" vertical="center" wrapText="1"/>
    </xf>
    <xf numFmtId="1" fontId="11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 vertical="center"/>
    </xf>
    <xf numFmtId="1" fontId="10" fillId="37" borderId="10" xfId="97" applyNumberFormat="1" applyFont="1" applyFill="1" applyBorder="1" applyAlignment="1">
      <alignment vertical="center"/>
      <protection/>
    </xf>
    <xf numFmtId="4" fontId="4" fillId="37" borderId="13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left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0" fontId="11" fillId="37" borderId="10" xfId="97" applyFont="1" applyFill="1" applyBorder="1" applyAlignment="1">
      <alignment horizontal="center" vertical="center" wrapText="1"/>
      <protection/>
    </xf>
    <xf numFmtId="1" fontId="53" fillId="37" borderId="10" xfId="0" applyNumberFormat="1" applyFont="1" applyFill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horizontal="center" vertical="center"/>
    </xf>
    <xf numFmtId="4" fontId="4" fillId="37" borderId="0" xfId="0" applyNumberFormat="1" applyFont="1" applyFill="1" applyAlignment="1">
      <alignment horizontal="center" vertical="center"/>
    </xf>
    <xf numFmtId="4" fontId="53" fillId="37" borderId="10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4" fontId="11" fillId="37" borderId="10" xfId="0" applyNumberFormat="1" applyFont="1" applyFill="1" applyBorder="1" applyAlignment="1">
      <alignment horizontal="center"/>
    </xf>
    <xf numFmtId="1" fontId="53" fillId="37" borderId="10" xfId="0" applyNumberFormat="1" applyFont="1" applyFill="1" applyBorder="1" applyAlignment="1">
      <alignment horizontal="center" vertical="center"/>
    </xf>
    <xf numFmtId="0" fontId="12" fillId="37" borderId="10" xfId="33" applyFont="1" applyFill="1" applyBorder="1" applyAlignment="1">
      <alignment horizontal="center" vertical="center"/>
      <protection/>
    </xf>
    <xf numFmtId="1" fontId="12" fillId="37" borderId="10" xfId="33" applyNumberFormat="1" applyFont="1" applyFill="1" applyBorder="1" applyAlignment="1">
      <alignment horizontal="center" vertical="center"/>
      <protection/>
    </xf>
    <xf numFmtId="0" fontId="11" fillId="37" borderId="0" xfId="0" applyFont="1" applyFill="1" applyAlignment="1">
      <alignment/>
    </xf>
    <xf numFmtId="0" fontId="4" fillId="37" borderId="0" xfId="0" applyFont="1" applyFill="1" applyAlignment="1">
      <alignment/>
    </xf>
    <xf numFmtId="4" fontId="4" fillId="37" borderId="14" xfId="0" applyNumberFormat="1" applyFont="1" applyFill="1" applyBorder="1" applyAlignment="1">
      <alignment horizontal="center" vertical="center" textRotation="90" wrapText="1"/>
    </xf>
    <xf numFmtId="4" fontId="4" fillId="37" borderId="15" xfId="0" applyNumberFormat="1" applyFont="1" applyFill="1" applyBorder="1" applyAlignment="1">
      <alignment horizontal="center" vertical="center" wrapText="1"/>
    </xf>
    <xf numFmtId="4" fontId="4" fillId="37" borderId="16" xfId="0" applyNumberFormat="1" applyFont="1" applyFill="1" applyBorder="1" applyAlignment="1">
      <alignment horizontal="center" vertical="center" textRotation="90" wrapText="1"/>
    </xf>
    <xf numFmtId="4" fontId="4" fillId="37" borderId="16" xfId="0" applyNumberFormat="1" applyFont="1" applyFill="1" applyBorder="1" applyAlignment="1">
      <alignment horizontal="center" vertical="center" wrapText="1"/>
    </xf>
    <xf numFmtId="4" fontId="11" fillId="37" borderId="16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/>
    </xf>
    <xf numFmtId="0" fontId="4" fillId="37" borderId="0" xfId="0" applyNumberFormat="1" applyFont="1" applyFill="1" applyBorder="1" applyAlignment="1">
      <alignment/>
    </xf>
    <xf numFmtId="4" fontId="4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 vertical="center"/>
    </xf>
    <xf numFmtId="1" fontId="10" fillId="37" borderId="10" xfId="0" applyNumberFormat="1" applyFont="1" applyFill="1" applyBorder="1" applyAlignment="1">
      <alignment horizontal="left" vertical="center"/>
    </xf>
    <xf numFmtId="0" fontId="54" fillId="37" borderId="10" xfId="0" applyFont="1" applyFill="1" applyBorder="1" applyAlignment="1">
      <alignment vertical="center"/>
    </xf>
    <xf numFmtId="1" fontId="11" fillId="37" borderId="10" xfId="67" applyNumberFormat="1" applyFont="1" applyFill="1" applyBorder="1" applyAlignment="1">
      <alignment horizontal="center" vertical="center" wrapText="1"/>
      <protection/>
    </xf>
    <xf numFmtId="4" fontId="53" fillId="37" borderId="10" xfId="0" applyNumberFormat="1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0" fillId="37" borderId="10" xfId="0" applyFont="1" applyFill="1" applyBorder="1" applyAlignment="1">
      <alignment horizontal="left" vertical="center"/>
    </xf>
    <xf numFmtId="0" fontId="10" fillId="37" borderId="10" xfId="0" applyNumberFormat="1" applyFont="1" applyFill="1" applyBorder="1" applyAlignment="1">
      <alignment horizontal="left" vertical="center"/>
    </xf>
    <xf numFmtId="4" fontId="10" fillId="37" borderId="10" xfId="0" applyNumberFormat="1" applyFont="1" applyFill="1" applyBorder="1" applyAlignment="1">
      <alignment horizontal="left" vertical="center"/>
    </xf>
    <xf numFmtId="1" fontId="8" fillId="37" borderId="10" xfId="0" applyNumberFormat="1" applyFont="1" applyFill="1" applyBorder="1" applyAlignment="1">
      <alignment horizontal="center" vertical="center" wrapText="1"/>
    </xf>
    <xf numFmtId="4" fontId="8" fillId="37" borderId="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3" fontId="4" fillId="37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center" vertical="center" wrapText="1"/>
    </xf>
    <xf numFmtId="0" fontId="11" fillId="37" borderId="10" xfId="97" applyFont="1" applyFill="1" applyBorder="1" applyAlignment="1">
      <alignment horizontal="left" vertical="center" wrapText="1"/>
      <protection/>
    </xf>
    <xf numFmtId="175" fontId="11" fillId="37" borderId="10" xfId="97" applyNumberFormat="1" applyFont="1" applyFill="1" applyBorder="1" applyAlignment="1">
      <alignment horizontal="center" vertical="center" wrapText="1"/>
      <protection/>
    </xf>
    <xf numFmtId="4" fontId="10" fillId="37" borderId="10" xfId="0" applyNumberFormat="1" applyFont="1" applyFill="1" applyBorder="1" applyAlignment="1">
      <alignment horizontal="center" vertical="center"/>
    </xf>
    <xf numFmtId="4" fontId="8" fillId="37" borderId="0" xfId="0" applyNumberFormat="1" applyFont="1" applyFill="1" applyBorder="1" applyAlignment="1">
      <alignment/>
    </xf>
    <xf numFmtId="0" fontId="8" fillId="37" borderId="0" xfId="0" applyFont="1" applyFill="1" applyAlignment="1">
      <alignment vertical="center"/>
    </xf>
    <xf numFmtId="3" fontId="11" fillId="37" borderId="10" xfId="97" applyNumberFormat="1" applyFont="1" applyFill="1" applyBorder="1" applyAlignment="1">
      <alignment horizontal="center" vertical="center" wrapText="1"/>
      <protection/>
    </xf>
    <xf numFmtId="1" fontId="11" fillId="37" borderId="10" xfId="97" applyNumberFormat="1" applyFont="1" applyFill="1" applyBorder="1" applyAlignment="1">
      <alignment horizontal="center" vertical="center" wrapText="1"/>
      <protection/>
    </xf>
    <xf numFmtId="4" fontId="4" fillId="37" borderId="0" xfId="0" applyNumberFormat="1" applyFont="1" applyFill="1" applyAlignment="1">
      <alignment vertical="center"/>
    </xf>
    <xf numFmtId="4" fontId="11" fillId="37" borderId="0" xfId="0" applyNumberFormat="1" applyFont="1" applyFill="1" applyBorder="1" applyAlignment="1">
      <alignment horizontal="right" vertical="center"/>
    </xf>
    <xf numFmtId="0" fontId="11" fillId="37" borderId="0" xfId="0" applyFont="1" applyFill="1" applyAlignment="1">
      <alignment vertical="center"/>
    </xf>
    <xf numFmtId="4" fontId="8" fillId="37" borderId="0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vertical="center"/>
    </xf>
    <xf numFmtId="0" fontId="10" fillId="37" borderId="0" xfId="0" applyFont="1" applyFill="1" applyAlignment="1">
      <alignment vertical="center"/>
    </xf>
    <xf numFmtId="0" fontId="4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center" vertical="center"/>
    </xf>
    <xf numFmtId="1" fontId="4" fillId="37" borderId="0" xfId="0" applyNumberFormat="1" applyFont="1" applyFill="1" applyAlignment="1">
      <alignment horizontal="center" vertical="center"/>
    </xf>
    <xf numFmtId="4" fontId="11" fillId="37" borderId="0" xfId="0" applyNumberFormat="1" applyFont="1" applyFill="1" applyAlignment="1">
      <alignment horizontal="center" vertical="center"/>
    </xf>
    <xf numFmtId="4" fontId="4" fillId="37" borderId="17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4" fontId="10" fillId="37" borderId="12" xfId="0" applyNumberFormat="1" applyFont="1" applyFill="1" applyBorder="1" applyAlignment="1">
      <alignment vertical="center"/>
    </xf>
    <xf numFmtId="4" fontId="10" fillId="37" borderId="13" xfId="0" applyNumberFormat="1" applyFont="1" applyFill="1" applyBorder="1" applyAlignment="1">
      <alignment vertical="center"/>
    </xf>
    <xf numFmtId="3" fontId="11" fillId="37" borderId="10" xfId="0" applyNumberFormat="1" applyFont="1" applyFill="1" applyBorder="1" applyAlignment="1">
      <alignment horizontal="left" vertical="center"/>
    </xf>
    <xf numFmtId="4" fontId="4" fillId="37" borderId="0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 wrapText="1"/>
    </xf>
    <xf numFmtId="4" fontId="11" fillId="37" borderId="13" xfId="0" applyNumberFormat="1" applyFont="1" applyFill="1" applyBorder="1" applyAlignment="1">
      <alignment horizontal="left" vertical="center"/>
    </xf>
    <xf numFmtId="4" fontId="11" fillId="37" borderId="13" xfId="0" applyNumberFormat="1" applyFont="1" applyFill="1" applyBorder="1" applyAlignment="1">
      <alignment horizontal="left" vertical="center" wrapText="1"/>
    </xf>
    <xf numFmtId="3" fontId="11" fillId="37" borderId="10" xfId="67" applyNumberFormat="1" applyFont="1" applyFill="1" applyBorder="1" applyAlignment="1">
      <alignment horizontal="center" vertical="center"/>
      <protection/>
    </xf>
    <xf numFmtId="0" fontId="11" fillId="37" borderId="10" xfId="67" applyFont="1" applyFill="1" applyBorder="1" applyAlignment="1">
      <alignment horizontal="center" vertical="center"/>
      <protection/>
    </xf>
    <xf numFmtId="1" fontId="11" fillId="37" borderId="10" xfId="67" applyNumberFormat="1" applyFont="1" applyFill="1" applyBorder="1" applyAlignment="1">
      <alignment horizontal="center" vertical="center"/>
      <protection/>
    </xf>
    <xf numFmtId="4" fontId="12" fillId="37" borderId="10" xfId="67" applyNumberFormat="1" applyFont="1" applyFill="1" applyBorder="1" applyAlignment="1">
      <alignment horizontal="center" vertical="center" wrapText="1"/>
      <protection/>
    </xf>
    <xf numFmtId="3" fontId="11" fillId="37" borderId="10" xfId="67" applyNumberFormat="1" applyFont="1" applyFill="1" applyBorder="1" applyAlignment="1">
      <alignment horizontal="center" vertical="center" wrapText="1"/>
      <protection/>
    </xf>
    <xf numFmtId="0" fontId="11" fillId="37" borderId="10" xfId="67" applyFont="1" applyFill="1" applyBorder="1" applyAlignment="1">
      <alignment horizontal="center" vertical="center" wrapText="1"/>
      <protection/>
    </xf>
    <xf numFmtId="4" fontId="12" fillId="37" borderId="10" xfId="67" applyNumberFormat="1" applyFont="1" applyFill="1" applyBorder="1" applyAlignment="1">
      <alignment horizontal="center" vertical="center"/>
      <protection/>
    </xf>
    <xf numFmtId="4" fontId="55" fillId="37" borderId="10" xfId="0" applyNumberFormat="1" applyFont="1" applyFill="1" applyBorder="1" applyAlignment="1">
      <alignment horizontal="center" vertical="center"/>
    </xf>
    <xf numFmtId="4" fontId="55" fillId="37" borderId="13" xfId="0" applyNumberFormat="1" applyFont="1" applyFill="1" applyBorder="1" applyAlignment="1">
      <alignment horizontal="center" vertical="center"/>
    </xf>
    <xf numFmtId="4" fontId="4" fillId="37" borderId="18" xfId="0" applyNumberFormat="1" applyFont="1" applyFill="1" applyBorder="1" applyAlignment="1">
      <alignment horizontal="center" vertical="center"/>
    </xf>
    <xf numFmtId="4" fontId="4" fillId="37" borderId="16" xfId="0" applyNumberFormat="1" applyFont="1" applyFill="1" applyBorder="1" applyAlignment="1">
      <alignment horizontal="center" vertical="center"/>
    </xf>
    <xf numFmtId="0" fontId="12" fillId="37" borderId="10" xfId="67" applyFont="1" applyFill="1" applyBorder="1" applyAlignment="1">
      <alignment horizontal="center" vertical="center" wrapText="1"/>
      <protection/>
    </xf>
    <xf numFmtId="4" fontId="12" fillId="37" borderId="10" xfId="67" applyNumberFormat="1" applyFont="1" applyFill="1" applyBorder="1" applyAlignment="1" applyProtection="1">
      <alignment horizontal="center" vertical="center"/>
      <protection/>
    </xf>
    <xf numFmtId="4" fontId="4" fillId="37" borderId="13" xfId="0" applyNumberFormat="1" applyFont="1" applyFill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center" vertical="center"/>
    </xf>
    <xf numFmtId="4" fontId="8" fillId="37" borderId="13" xfId="0" applyNumberFormat="1" applyFont="1" applyFill="1" applyBorder="1" applyAlignment="1">
      <alignment horizontal="center" vertical="center"/>
    </xf>
    <xf numFmtId="49" fontId="11" fillId="37" borderId="10" xfId="116" applyNumberFormat="1" applyFont="1" applyFill="1" applyBorder="1" applyAlignment="1">
      <alignment horizontal="center" vertical="center"/>
    </xf>
    <xf numFmtId="4" fontId="4" fillId="37" borderId="19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3" fontId="11" fillId="37" borderId="10" xfId="0" applyNumberFormat="1" applyFont="1" applyFill="1" applyBorder="1" applyAlignment="1">
      <alignment horizontal="center"/>
    </xf>
    <xf numFmtId="3" fontId="8" fillId="37" borderId="11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 quotePrefix="1">
      <alignment horizontal="center" vertical="center"/>
    </xf>
    <xf numFmtId="1" fontId="11" fillId="37" borderId="10" xfId="70" applyNumberFormat="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vertical="center"/>
    </xf>
    <xf numFmtId="4" fontId="11" fillId="37" borderId="10" xfId="70" applyNumberFormat="1" applyFont="1" applyFill="1" applyBorder="1" applyAlignment="1">
      <alignment horizontal="center" vertical="center" wrapText="1"/>
      <protection/>
    </xf>
    <xf numFmtId="1" fontId="11" fillId="37" borderId="10" xfId="70" applyNumberFormat="1" applyFont="1" applyFill="1" applyBorder="1" applyAlignment="1" quotePrefix="1">
      <alignment horizontal="center" vertical="center" wrapText="1"/>
      <protection/>
    </xf>
    <xf numFmtId="171" fontId="4" fillId="37" borderId="10" xfId="0" applyNumberFormat="1" applyFont="1" applyFill="1" applyBorder="1" applyAlignment="1">
      <alignment horizontal="center" vertical="center"/>
    </xf>
    <xf numFmtId="4" fontId="11" fillId="37" borderId="10" xfId="70" applyNumberFormat="1" applyFont="1" applyFill="1" applyBorder="1" applyAlignment="1" quotePrefix="1">
      <alignment horizontal="center" vertical="center" wrapText="1"/>
      <protection/>
    </xf>
    <xf numFmtId="1" fontId="11" fillId="37" borderId="10" xfId="73" applyNumberFormat="1" applyFont="1" applyFill="1" applyBorder="1" applyAlignment="1">
      <alignment horizontal="center" vertical="center"/>
      <protection/>
    </xf>
    <xf numFmtId="0" fontId="11" fillId="37" borderId="10" xfId="73" applyFont="1" applyFill="1" applyBorder="1" applyAlignment="1" quotePrefix="1">
      <alignment horizontal="center" vertical="center"/>
      <protection/>
    </xf>
    <xf numFmtId="4" fontId="11" fillId="37" borderId="10" xfId="73" applyNumberFormat="1" applyFont="1" applyFill="1" applyBorder="1" applyAlignment="1">
      <alignment horizontal="center" vertical="center"/>
      <protection/>
    </xf>
    <xf numFmtId="3" fontId="11" fillId="37" borderId="10" xfId="73" applyNumberFormat="1" applyFont="1" applyFill="1" applyBorder="1" applyAlignment="1">
      <alignment horizontal="center" vertical="center"/>
      <protection/>
    </xf>
    <xf numFmtId="4" fontId="11" fillId="37" borderId="10" xfId="106" applyNumberFormat="1" applyFont="1" applyFill="1" applyBorder="1" applyAlignment="1">
      <alignment horizontal="center" vertical="center" wrapText="1"/>
      <protection/>
    </xf>
    <xf numFmtId="4" fontId="4" fillId="37" borderId="13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 wrapText="1"/>
    </xf>
    <xf numFmtId="4" fontId="4" fillId="38" borderId="10" xfId="0" applyNumberFormat="1" applyFont="1" applyFill="1" applyBorder="1" applyAlignment="1">
      <alignment horizontal="right" vertical="center"/>
    </xf>
    <xf numFmtId="171" fontId="4" fillId="37" borderId="0" xfId="116" applyNumberFormat="1" applyFont="1" applyFill="1" applyAlignment="1">
      <alignment vertical="center"/>
    </xf>
    <xf numFmtId="4" fontId="53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7" borderId="1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 horizontal="left" vertical="center" wrapText="1"/>
    </xf>
    <xf numFmtId="4" fontId="8" fillId="37" borderId="13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4" fillId="37" borderId="10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horizontal="center" vertical="top" wrapText="1"/>
    </xf>
    <xf numFmtId="0" fontId="8" fillId="37" borderId="2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/>
    </xf>
    <xf numFmtId="0" fontId="8" fillId="37" borderId="13" xfId="0" applyFont="1" applyFill="1" applyBorder="1" applyAlignment="1">
      <alignment horizontal="left" vertical="center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left" vertical="center" wrapText="1"/>
    </xf>
    <xf numFmtId="4" fontId="4" fillId="37" borderId="14" xfId="0" applyNumberFormat="1" applyFont="1" applyFill="1" applyBorder="1" applyAlignment="1">
      <alignment horizontal="center" vertical="center" wrapText="1"/>
    </xf>
    <xf numFmtId="4" fontId="4" fillId="37" borderId="17" xfId="0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textRotation="90" wrapText="1"/>
    </xf>
    <xf numFmtId="4" fontId="11" fillId="37" borderId="16" xfId="0" applyNumberFormat="1" applyFont="1" applyFill="1" applyBorder="1" applyAlignment="1">
      <alignment horizontal="center" vertical="center" textRotation="90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textRotation="90"/>
    </xf>
    <xf numFmtId="0" fontId="4" fillId="37" borderId="22" xfId="0" applyFont="1" applyFill="1" applyBorder="1" applyAlignment="1">
      <alignment horizontal="center" vertical="center" textRotation="90"/>
    </xf>
    <xf numFmtId="0" fontId="4" fillId="37" borderId="16" xfId="0" applyFont="1" applyFill="1" applyBorder="1" applyAlignment="1">
      <alignment horizontal="center" vertical="center" textRotation="90"/>
    </xf>
    <xf numFmtId="0" fontId="4" fillId="37" borderId="14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4" fontId="8" fillId="37" borderId="11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4" fontId="8" fillId="37" borderId="13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textRotation="90" wrapText="1"/>
    </xf>
    <xf numFmtId="1" fontId="4" fillId="37" borderId="22" xfId="0" applyNumberFormat="1" applyFont="1" applyFill="1" applyBorder="1" applyAlignment="1">
      <alignment horizontal="center" vertical="center" textRotation="90" wrapText="1"/>
    </xf>
    <xf numFmtId="1" fontId="4" fillId="37" borderId="16" xfId="0" applyNumberFormat="1" applyFont="1" applyFill="1" applyBorder="1" applyAlignment="1">
      <alignment horizontal="center" vertical="center" textRotation="90" wrapText="1"/>
    </xf>
    <xf numFmtId="0" fontId="0" fillId="37" borderId="24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4" fontId="10" fillId="37" borderId="11" xfId="0" applyNumberFormat="1" applyFont="1" applyFill="1" applyBorder="1" applyAlignment="1">
      <alignment horizontal="center" vertical="center"/>
    </xf>
    <xf numFmtId="4" fontId="10" fillId="37" borderId="12" xfId="0" applyNumberFormat="1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 textRotation="90" wrapText="1"/>
    </xf>
    <xf numFmtId="0" fontId="4" fillId="37" borderId="22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4" fontId="4" fillId="37" borderId="21" xfId="0" applyNumberFormat="1" applyFont="1" applyFill="1" applyBorder="1" applyAlignment="1">
      <alignment horizontal="center" vertical="center" textRotation="90" wrapText="1"/>
    </xf>
    <xf numFmtId="4" fontId="4" fillId="37" borderId="22" xfId="0" applyNumberFormat="1" applyFont="1" applyFill="1" applyBorder="1" applyAlignment="1">
      <alignment horizontal="center" vertical="center" textRotation="90" wrapText="1"/>
    </xf>
    <xf numFmtId="4" fontId="4" fillId="37" borderId="16" xfId="0" applyNumberFormat="1" applyFont="1" applyFill="1" applyBorder="1" applyAlignment="1">
      <alignment horizontal="center" vertical="center" textRotation="90" wrapText="1"/>
    </xf>
    <xf numFmtId="0" fontId="10" fillId="37" borderId="11" xfId="0" applyNumberFormat="1" applyFont="1" applyFill="1" applyBorder="1" applyAlignment="1">
      <alignment horizontal="center" vertical="center"/>
    </xf>
    <xf numFmtId="0" fontId="10" fillId="37" borderId="12" xfId="0" applyNumberFormat="1" applyFont="1" applyFill="1" applyBorder="1" applyAlignment="1">
      <alignment horizontal="center" vertical="center"/>
    </xf>
    <xf numFmtId="0" fontId="10" fillId="37" borderId="13" xfId="0" applyNumberFormat="1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4" fontId="4" fillId="37" borderId="21" xfId="0" applyNumberFormat="1" applyFont="1" applyFill="1" applyBorder="1" applyAlignment="1">
      <alignment horizontal="center" vertical="center" wrapText="1"/>
    </xf>
    <xf numFmtId="4" fontId="4" fillId="37" borderId="22" xfId="0" applyNumberFormat="1" applyFont="1" applyFill="1" applyBorder="1" applyAlignment="1">
      <alignment horizontal="center" vertical="center" wrapText="1"/>
    </xf>
    <xf numFmtId="4" fontId="4" fillId="37" borderId="16" xfId="0" applyNumberFormat="1" applyFont="1" applyFill="1" applyBorder="1" applyAlignment="1">
      <alignment horizontal="center" vertical="center" wrapText="1"/>
    </xf>
    <xf numFmtId="1" fontId="4" fillId="37" borderId="21" xfId="0" applyNumberFormat="1" applyFont="1" applyFill="1" applyBorder="1" applyAlignment="1">
      <alignment horizontal="center" vertical="center" wrapText="1"/>
    </xf>
    <xf numFmtId="1" fontId="4" fillId="37" borderId="22" xfId="0" applyNumberFormat="1" applyFont="1" applyFill="1" applyBorder="1" applyAlignment="1">
      <alignment horizontal="center" vertical="center" wrapText="1"/>
    </xf>
    <xf numFmtId="1" fontId="4" fillId="37" borderId="16" xfId="0" applyNumberFormat="1" applyFont="1" applyFill="1" applyBorder="1" applyAlignment="1">
      <alignment horizontal="center" vertical="center" wrapText="1"/>
    </xf>
    <xf numFmtId="2" fontId="10" fillId="37" borderId="10" xfId="97" applyNumberFormat="1" applyFont="1" applyFill="1" applyBorder="1" applyAlignment="1">
      <alignment horizontal="left" vertical="center" wrapText="1"/>
      <protection/>
    </xf>
    <xf numFmtId="2" fontId="10" fillId="37" borderId="11" xfId="0" applyNumberFormat="1" applyFont="1" applyFill="1" applyBorder="1" applyAlignment="1">
      <alignment horizontal="left" vertical="center"/>
    </xf>
    <xf numFmtId="2" fontId="10" fillId="37" borderId="13" xfId="0" applyNumberFormat="1" applyFont="1" applyFill="1" applyBorder="1" applyAlignment="1">
      <alignment horizontal="left" vertical="center"/>
    </xf>
    <xf numFmtId="4" fontId="8" fillId="37" borderId="10" xfId="0" applyNumberFormat="1" applyFont="1" applyFill="1" applyBorder="1" applyAlignment="1">
      <alignment horizontal="center" vertical="center" wrapText="1"/>
    </xf>
    <xf numFmtId="2" fontId="10" fillId="37" borderId="11" xfId="97" applyNumberFormat="1" applyFont="1" applyFill="1" applyBorder="1" applyAlignment="1">
      <alignment horizontal="left" vertical="center" wrapText="1"/>
      <protection/>
    </xf>
    <xf numFmtId="2" fontId="10" fillId="37" borderId="13" xfId="97" applyNumberFormat="1" applyFont="1" applyFill="1" applyBorder="1" applyAlignment="1">
      <alignment horizontal="left" vertical="center" wrapText="1"/>
      <protection/>
    </xf>
    <xf numFmtId="2" fontId="10" fillId="37" borderId="10" xfId="97" applyNumberFormat="1" applyFont="1" applyFill="1" applyBorder="1" applyAlignment="1">
      <alignment horizontal="left" vertical="center"/>
      <protection/>
    </xf>
    <xf numFmtId="0" fontId="10" fillId="37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4" fontId="6" fillId="35" borderId="10" xfId="0" applyNumberFormat="1" applyFont="1" applyFill="1" applyBorder="1" applyAlignment="1">
      <alignment horizontal="left" vertical="center" wrapText="1"/>
    </xf>
    <xf numFmtId="4" fontId="6" fillId="35" borderId="11" xfId="76" applyNumberFormat="1" applyFont="1" applyFill="1" applyBorder="1" applyAlignment="1">
      <alignment horizontal="left" vertical="center"/>
      <protection/>
    </xf>
    <xf numFmtId="4" fontId="6" fillId="35" borderId="12" xfId="76" applyNumberFormat="1" applyFont="1" applyFill="1" applyBorder="1" applyAlignment="1">
      <alignment horizontal="left" vertical="center"/>
      <protection/>
    </xf>
    <xf numFmtId="4" fontId="6" fillId="35" borderId="20" xfId="76" applyNumberFormat="1" applyFont="1" applyFill="1" applyBorder="1" applyAlignment="1">
      <alignment horizontal="left" vertical="center"/>
      <protection/>
    </xf>
    <xf numFmtId="4" fontId="6" fillId="35" borderId="18" xfId="76" applyNumberFormat="1" applyFont="1" applyFill="1" applyBorder="1" applyAlignment="1">
      <alignment horizontal="left" vertical="center"/>
      <protection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 textRotation="90" wrapText="1"/>
    </xf>
    <xf numFmtId="2" fontId="7" fillId="33" borderId="22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textRotation="90" wrapText="1"/>
    </xf>
    <xf numFmtId="2" fontId="7" fillId="33" borderId="19" xfId="0" applyNumberFormat="1" applyFont="1" applyFill="1" applyBorder="1" applyAlignment="1">
      <alignment horizontal="center" vertical="center" textRotation="90" wrapText="1"/>
    </xf>
    <xf numFmtId="2" fontId="7" fillId="33" borderId="21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3" xfId="64"/>
    <cellStyle name="Обычный 11" xfId="65"/>
    <cellStyle name="Обычный 12" xfId="66"/>
    <cellStyle name="Обычный 12 2" xfId="67"/>
    <cellStyle name="Обычный 13" xfId="68"/>
    <cellStyle name="Обычный 14 3" xfId="69"/>
    <cellStyle name="Обычный 2" xfId="70"/>
    <cellStyle name="Обычный 2 2" xfId="71"/>
    <cellStyle name="Обычный 2 2 2" xfId="72"/>
    <cellStyle name="Обычный 2 3" xfId="73"/>
    <cellStyle name="Обычный 2 4" xfId="74"/>
    <cellStyle name="Обычный 24" xfId="75"/>
    <cellStyle name="Обычный 3" xfId="76"/>
    <cellStyle name="Обычный 3 2" xfId="77"/>
    <cellStyle name="Обычный 3 2 2" xfId="78"/>
    <cellStyle name="Обычный 3 3" xfId="79"/>
    <cellStyle name="Обычный 3 4" xfId="80"/>
    <cellStyle name="Обычный 3 4 2" xfId="81"/>
    <cellStyle name="Обычный 3 5" xfId="82"/>
    <cellStyle name="Обычный 4" xfId="83"/>
    <cellStyle name="Обычный 4 2" xfId="84"/>
    <cellStyle name="Обычный 4 3" xfId="85"/>
    <cellStyle name="Обычный 4 4" xfId="86"/>
    <cellStyle name="Обычный 4 4 2" xfId="87"/>
    <cellStyle name="Обычный 4 5" xfId="88"/>
    <cellStyle name="Обычный 5" xfId="89"/>
    <cellStyle name="Обычный 5 2" xfId="90"/>
    <cellStyle name="Обычный 6" xfId="91"/>
    <cellStyle name="Обычный 6 2" xfId="92"/>
    <cellStyle name="Обычный 6 3" xfId="93"/>
    <cellStyle name="Обычный 6 4" xfId="94"/>
    <cellStyle name="Обычный 6 4 2" xfId="95"/>
    <cellStyle name="Обычный 6 5" xfId="96"/>
    <cellStyle name="Обычный 6 6" xfId="97"/>
    <cellStyle name="Обычный 7" xfId="98"/>
    <cellStyle name="Обычный 7 2" xfId="99"/>
    <cellStyle name="Обычный 7 3" xfId="100"/>
    <cellStyle name="Обычный 7 4" xfId="101"/>
    <cellStyle name="Обычный 7 4 2" xfId="102"/>
    <cellStyle name="Обычный 7 5" xfId="103"/>
    <cellStyle name="Обычный 8" xfId="104"/>
    <cellStyle name="Обычный 8 2" xfId="105"/>
    <cellStyle name="Обычный 9" xfId="106"/>
    <cellStyle name="Обычный 9 2" xfId="107"/>
    <cellStyle name="Обычный 9 3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2" xfId="118"/>
    <cellStyle name="Финансовый 3" xfId="119"/>
    <cellStyle name="Финансовый 3 2" xfId="120"/>
    <cellStyle name="Хороший" xfId="1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ya_makarova\Desktop\&#1074;&#1072;&#1088;&#1080;&#1072;&#1085;&#1090;%206.1\&#1055;&#1056;&#1054;&#1045;&#1050;&#1058;%20&#1055;&#1055;&#1051;&#1054;\&#1059;&#1095;&#1077;&#1090;%20&#1089;&#1084;&#1077;&#1090;%20&#1085;&#1072;%20&#1089;&#1091;&#1073;&#1089;&#1080;&#1076;&#1080;&#1102;(&#1080;&#1089;&#1087;&#1088;%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я"/>
    </sheetNames>
    <sheetDataSet>
      <sheetData sheetId="0">
        <row r="15">
          <cell r="C15">
            <v>2625395.02</v>
          </cell>
        </row>
        <row r="16">
          <cell r="C16">
            <v>2524089.17</v>
          </cell>
        </row>
        <row r="17">
          <cell r="C17">
            <v>2542430.23</v>
          </cell>
        </row>
        <row r="18">
          <cell r="C18">
            <v>2562653.76</v>
          </cell>
        </row>
        <row r="19">
          <cell r="C19">
            <v>2536445.89</v>
          </cell>
        </row>
        <row r="20">
          <cell r="C20">
            <v>2518494.07</v>
          </cell>
        </row>
        <row r="21">
          <cell r="C21">
            <v>2544802.46</v>
          </cell>
        </row>
        <row r="22">
          <cell r="C22">
            <v>2561237.7</v>
          </cell>
        </row>
        <row r="23">
          <cell r="C23">
            <v>2594252.94</v>
          </cell>
        </row>
        <row r="24">
          <cell r="C24">
            <v>2632902.95</v>
          </cell>
        </row>
        <row r="25">
          <cell r="C25">
            <v>2518567.67</v>
          </cell>
        </row>
        <row r="26">
          <cell r="C26">
            <v>2517109.51</v>
          </cell>
        </row>
        <row r="27">
          <cell r="C27">
            <v>2487345.78</v>
          </cell>
        </row>
        <row r="28">
          <cell r="C28">
            <v>2541959.52</v>
          </cell>
        </row>
        <row r="29">
          <cell r="C29">
            <v>3000346.64</v>
          </cell>
        </row>
        <row r="30">
          <cell r="C30">
            <v>2721858.17</v>
          </cell>
        </row>
        <row r="31">
          <cell r="C31">
            <v>2670439.98</v>
          </cell>
        </row>
        <row r="32">
          <cell r="C32">
            <v>2652784.92</v>
          </cell>
        </row>
        <row r="33">
          <cell r="C33">
            <v>2610455.9</v>
          </cell>
        </row>
        <row r="34">
          <cell r="C34">
            <v>2568126.97</v>
          </cell>
        </row>
        <row r="35">
          <cell r="C35">
            <v>2612059.49</v>
          </cell>
        </row>
        <row r="36">
          <cell r="C36">
            <v>2569730.53</v>
          </cell>
        </row>
        <row r="37">
          <cell r="C37">
            <v>2613663.04</v>
          </cell>
        </row>
        <row r="38">
          <cell r="C38">
            <v>2632921.68</v>
          </cell>
        </row>
        <row r="39">
          <cell r="C39">
            <v>2352588.25</v>
          </cell>
        </row>
        <row r="40">
          <cell r="C40">
            <v>2638563.95</v>
          </cell>
        </row>
        <row r="41">
          <cell r="C41">
            <v>2554767.91</v>
          </cell>
        </row>
        <row r="42">
          <cell r="C42">
            <v>2584205.58</v>
          </cell>
        </row>
        <row r="43">
          <cell r="C43">
            <v>2582475.4</v>
          </cell>
        </row>
        <row r="44">
          <cell r="C44">
            <v>2704266.22</v>
          </cell>
        </row>
        <row r="45">
          <cell r="C45">
            <v>2697099.8</v>
          </cell>
        </row>
        <row r="46">
          <cell r="C46">
            <v>2672935.55</v>
          </cell>
        </row>
        <row r="47">
          <cell r="C47">
            <v>2697099.8</v>
          </cell>
        </row>
        <row r="48">
          <cell r="C48">
            <v>2602279.69</v>
          </cell>
        </row>
        <row r="49">
          <cell r="C49">
            <v>2586600.08</v>
          </cell>
        </row>
        <row r="50">
          <cell r="C50">
            <v>2569742.16</v>
          </cell>
        </row>
        <row r="51">
          <cell r="C51">
            <v>2595331.14</v>
          </cell>
        </row>
        <row r="52">
          <cell r="C52">
            <v>2671048.68</v>
          </cell>
        </row>
        <row r="53">
          <cell r="C53">
            <v>2642040.41</v>
          </cell>
        </row>
        <row r="54">
          <cell r="C54">
            <v>2671048.68</v>
          </cell>
        </row>
        <row r="55">
          <cell r="C55">
            <v>2733545.74</v>
          </cell>
        </row>
        <row r="56">
          <cell r="C56">
            <v>2727489.96</v>
          </cell>
        </row>
        <row r="57">
          <cell r="C57">
            <v>2723971.44</v>
          </cell>
        </row>
        <row r="58">
          <cell r="C58">
            <v>2651763.82</v>
          </cell>
        </row>
        <row r="59">
          <cell r="C59">
            <v>2552144.28</v>
          </cell>
        </row>
        <row r="60">
          <cell r="C60">
            <v>2505216.71</v>
          </cell>
        </row>
        <row r="61">
          <cell r="C61">
            <v>2553874.45</v>
          </cell>
        </row>
        <row r="62">
          <cell r="C62">
            <v>2634847.78</v>
          </cell>
        </row>
        <row r="63">
          <cell r="C63">
            <v>2521325.36</v>
          </cell>
        </row>
        <row r="64">
          <cell r="C64">
            <v>2569983.16</v>
          </cell>
        </row>
        <row r="65">
          <cell r="C65">
            <v>2620453.79</v>
          </cell>
        </row>
        <row r="66">
          <cell r="C66">
            <v>2491019.24</v>
          </cell>
        </row>
        <row r="67">
          <cell r="C67">
            <v>2577308.99</v>
          </cell>
        </row>
        <row r="68">
          <cell r="C68">
            <v>2535767.65</v>
          </cell>
        </row>
        <row r="69">
          <cell r="C69">
            <v>2534164.06</v>
          </cell>
        </row>
        <row r="70">
          <cell r="C70">
            <v>2641652.1</v>
          </cell>
        </row>
        <row r="71">
          <cell r="C71">
            <v>2612326.06</v>
          </cell>
        </row>
        <row r="72">
          <cell r="C72">
            <v>2549577.26</v>
          </cell>
        </row>
        <row r="73">
          <cell r="C73">
            <v>2625685.45</v>
          </cell>
        </row>
        <row r="74">
          <cell r="C74">
            <v>2768171.5</v>
          </cell>
        </row>
        <row r="75">
          <cell r="C75">
            <v>2698753.03</v>
          </cell>
        </row>
        <row r="76">
          <cell r="C76">
            <v>2670052.38</v>
          </cell>
        </row>
        <row r="77">
          <cell r="C77">
            <v>2705154.47</v>
          </cell>
        </row>
        <row r="78">
          <cell r="C78">
            <v>2749329.35</v>
          </cell>
        </row>
        <row r="79">
          <cell r="C79">
            <v>2698522.02</v>
          </cell>
        </row>
        <row r="80">
          <cell r="C80">
            <v>2749329.35</v>
          </cell>
        </row>
        <row r="81">
          <cell r="C81">
            <v>2767940.5</v>
          </cell>
        </row>
        <row r="82">
          <cell r="C82">
            <v>2670052.38</v>
          </cell>
        </row>
        <row r="83">
          <cell r="C83">
            <v>2704923.47</v>
          </cell>
        </row>
        <row r="84">
          <cell r="C84">
            <v>2600089.76</v>
          </cell>
        </row>
        <row r="85">
          <cell r="C85">
            <v>2626221.65</v>
          </cell>
        </row>
        <row r="86">
          <cell r="C86">
            <v>2601037.91</v>
          </cell>
        </row>
        <row r="87">
          <cell r="C87">
            <v>2574989.44</v>
          </cell>
        </row>
        <row r="88">
          <cell r="C88">
            <v>2573633.87</v>
          </cell>
        </row>
        <row r="89">
          <cell r="C89">
            <v>2575054.75</v>
          </cell>
        </row>
        <row r="90">
          <cell r="C90">
            <v>2601525.55</v>
          </cell>
        </row>
        <row r="91">
          <cell r="C91">
            <v>2724135.4</v>
          </cell>
        </row>
        <row r="92">
          <cell r="C92">
            <v>2699120.18</v>
          </cell>
        </row>
        <row r="93">
          <cell r="C93">
            <v>2674645.66</v>
          </cell>
        </row>
        <row r="94">
          <cell r="C94">
            <v>2617976.69</v>
          </cell>
        </row>
        <row r="95">
          <cell r="C95">
            <v>2674899.95</v>
          </cell>
        </row>
        <row r="96">
          <cell r="C96">
            <v>2699315.24</v>
          </cell>
        </row>
        <row r="102">
          <cell r="C102">
            <v>2602927.61</v>
          </cell>
        </row>
        <row r="103">
          <cell r="C103">
            <v>2597326.36</v>
          </cell>
        </row>
        <row r="104">
          <cell r="C104">
            <v>2597002.85</v>
          </cell>
        </row>
        <row r="105">
          <cell r="C105">
            <v>2675944.8</v>
          </cell>
        </row>
        <row r="106">
          <cell r="C106">
            <v>2827435.18</v>
          </cell>
        </row>
        <row r="107">
          <cell r="C107">
            <v>2657960.3</v>
          </cell>
        </row>
        <row r="108">
          <cell r="C108">
            <v>2652359.03</v>
          </cell>
        </row>
        <row r="109">
          <cell r="C109">
            <v>2684573.28</v>
          </cell>
        </row>
        <row r="110">
          <cell r="C110">
            <v>2783397.26</v>
          </cell>
        </row>
        <row r="111">
          <cell r="C111">
            <v>2705504.68</v>
          </cell>
        </row>
        <row r="112">
          <cell r="C112">
            <v>2227640.12</v>
          </cell>
        </row>
        <row r="113">
          <cell r="C113">
            <v>2214719.8</v>
          </cell>
        </row>
        <row r="114">
          <cell r="C114">
            <v>2236897.63</v>
          </cell>
        </row>
        <row r="115">
          <cell r="C115">
            <v>2324200.94</v>
          </cell>
        </row>
        <row r="116">
          <cell r="C116">
            <v>2249976.04</v>
          </cell>
        </row>
        <row r="117">
          <cell r="C117">
            <v>2219457.88</v>
          </cell>
        </row>
        <row r="118">
          <cell r="C118">
            <v>2191943.82</v>
          </cell>
        </row>
        <row r="119">
          <cell r="C119">
            <v>2219457.88</v>
          </cell>
        </row>
        <row r="120">
          <cell r="C120">
            <v>2244998.46</v>
          </cell>
        </row>
        <row r="121">
          <cell r="C121">
            <v>2320467.55</v>
          </cell>
        </row>
        <row r="122">
          <cell r="C122">
            <v>2245529.48</v>
          </cell>
        </row>
        <row r="123">
          <cell r="C123">
            <v>2215065.07</v>
          </cell>
        </row>
        <row r="124">
          <cell r="C124">
            <v>2187597.9</v>
          </cell>
        </row>
        <row r="125">
          <cell r="C125">
            <v>2215441</v>
          </cell>
        </row>
        <row r="126">
          <cell r="C126">
            <v>2241048.07</v>
          </cell>
        </row>
        <row r="127">
          <cell r="C127">
            <v>2627043.08</v>
          </cell>
        </row>
        <row r="128">
          <cell r="C128">
            <v>2569566.24</v>
          </cell>
        </row>
        <row r="129">
          <cell r="C129">
            <v>2570296.4</v>
          </cell>
        </row>
        <row r="130">
          <cell r="C130">
            <v>2671849.61</v>
          </cell>
        </row>
        <row r="131">
          <cell r="C131">
            <v>2586376.5</v>
          </cell>
        </row>
        <row r="132">
          <cell r="C132">
            <v>2562144.5</v>
          </cell>
        </row>
        <row r="133">
          <cell r="C133">
            <v>2545774.28</v>
          </cell>
        </row>
        <row r="134">
          <cell r="C134">
            <v>2562306.68</v>
          </cell>
        </row>
        <row r="135">
          <cell r="C135">
            <v>2586652.92</v>
          </cell>
        </row>
        <row r="136">
          <cell r="C136">
            <v>2671518.83</v>
          </cell>
        </row>
        <row r="137">
          <cell r="C137">
            <v>2585968.92</v>
          </cell>
        </row>
        <row r="138">
          <cell r="C138">
            <v>2561566.14</v>
          </cell>
        </row>
        <row r="139">
          <cell r="C139">
            <v>2528759.4</v>
          </cell>
        </row>
        <row r="140">
          <cell r="C140">
            <v>2561652.22</v>
          </cell>
        </row>
        <row r="141">
          <cell r="C141">
            <v>2585940.23</v>
          </cell>
        </row>
        <row r="142">
          <cell r="C142">
            <v>2214783.67</v>
          </cell>
        </row>
        <row r="143">
          <cell r="C143">
            <v>2153484</v>
          </cell>
        </row>
        <row r="144">
          <cell r="C144">
            <v>2126605.82</v>
          </cell>
        </row>
        <row r="145">
          <cell r="C145">
            <v>2107691.78</v>
          </cell>
        </row>
        <row r="146">
          <cell r="C146">
            <v>2126605.82</v>
          </cell>
        </row>
        <row r="147">
          <cell r="C147">
            <v>2148788.52</v>
          </cell>
        </row>
        <row r="148">
          <cell r="C148">
            <v>2213347.33</v>
          </cell>
        </row>
        <row r="149">
          <cell r="C149">
            <v>2156413.66</v>
          </cell>
        </row>
        <row r="150">
          <cell r="C150">
            <v>2127951.17</v>
          </cell>
        </row>
        <row r="151">
          <cell r="C151">
            <v>2107007.81</v>
          </cell>
        </row>
        <row r="152">
          <cell r="C152">
            <v>2128414.18</v>
          </cell>
        </row>
        <row r="153">
          <cell r="C153">
            <v>2152181.18</v>
          </cell>
        </row>
        <row r="154">
          <cell r="C154">
            <v>2343775.81</v>
          </cell>
        </row>
        <row r="155">
          <cell r="C155">
            <v>2286271.81</v>
          </cell>
        </row>
        <row r="156">
          <cell r="C156">
            <v>2307527.27</v>
          </cell>
        </row>
        <row r="157">
          <cell r="C157">
            <v>2695645.6</v>
          </cell>
        </row>
        <row r="158">
          <cell r="C158">
            <v>2668400.45</v>
          </cell>
        </row>
        <row r="159">
          <cell r="C159">
            <v>2669124.11</v>
          </cell>
        </row>
        <row r="160">
          <cell r="C160">
            <v>2702467.2</v>
          </cell>
        </row>
        <row r="161">
          <cell r="C161">
            <v>2688444.77</v>
          </cell>
        </row>
        <row r="162">
          <cell r="C162">
            <v>2708501.36</v>
          </cell>
        </row>
        <row r="163">
          <cell r="C163">
            <v>2687978.09</v>
          </cell>
        </row>
        <row r="164">
          <cell r="C164">
            <v>2684708.98</v>
          </cell>
        </row>
        <row r="165">
          <cell r="C165">
            <v>2707395.22</v>
          </cell>
        </row>
        <row r="173">
          <cell r="C173">
            <v>2576176.64</v>
          </cell>
        </row>
        <row r="174">
          <cell r="C174">
            <v>2576176.64</v>
          </cell>
        </row>
        <row r="175">
          <cell r="C175">
            <v>2576176.64</v>
          </cell>
        </row>
        <row r="176">
          <cell r="C176">
            <v>2532082.08</v>
          </cell>
        </row>
        <row r="177">
          <cell r="C177">
            <v>2564581.84</v>
          </cell>
        </row>
        <row r="178">
          <cell r="C178">
            <v>2490122.28</v>
          </cell>
        </row>
        <row r="179">
          <cell r="C179">
            <v>2490122.28</v>
          </cell>
        </row>
        <row r="180">
          <cell r="C180">
            <v>2578318.19</v>
          </cell>
        </row>
        <row r="181">
          <cell r="C181">
            <v>2578318.19</v>
          </cell>
        </row>
        <row r="182">
          <cell r="C182">
            <v>2610817.93</v>
          </cell>
        </row>
        <row r="183">
          <cell r="C183">
            <v>2578318.19</v>
          </cell>
        </row>
        <row r="184">
          <cell r="C184">
            <v>2578318.19</v>
          </cell>
        </row>
        <row r="185">
          <cell r="C185">
            <v>2532082.08</v>
          </cell>
        </row>
        <row r="186">
          <cell r="C186">
            <v>2564581.84</v>
          </cell>
        </row>
        <row r="187">
          <cell r="C187">
            <v>2583055.26</v>
          </cell>
        </row>
        <row r="188">
          <cell r="C188">
            <v>2583055.26</v>
          </cell>
        </row>
        <row r="189">
          <cell r="C189">
            <v>2583055.26</v>
          </cell>
        </row>
        <row r="190">
          <cell r="C190">
            <v>2615555</v>
          </cell>
        </row>
        <row r="191">
          <cell r="C191">
            <v>2583055.26</v>
          </cell>
        </row>
        <row r="192">
          <cell r="C192">
            <v>2583055.26</v>
          </cell>
        </row>
        <row r="193">
          <cell r="C193">
            <v>2583055.26</v>
          </cell>
        </row>
        <row r="194">
          <cell r="C194">
            <v>2583055.26</v>
          </cell>
        </row>
        <row r="195">
          <cell r="C195">
            <v>2460049.06</v>
          </cell>
        </row>
        <row r="196">
          <cell r="C196">
            <v>2597326.36</v>
          </cell>
        </row>
        <row r="197">
          <cell r="C197">
            <v>2602927.61</v>
          </cell>
        </row>
        <row r="198">
          <cell r="C198">
            <v>2597326.36</v>
          </cell>
        </row>
        <row r="199">
          <cell r="C199">
            <v>2597326.36</v>
          </cell>
        </row>
        <row r="200">
          <cell r="C200">
            <v>2602927.61</v>
          </cell>
        </row>
        <row r="201">
          <cell r="C201">
            <v>2597326.36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60" zoomScaleNormal="90" zoomScalePageLayoutView="0" workbookViewId="0" topLeftCell="A1">
      <pane ySplit="10" topLeftCell="A20" activePane="bottomLeft" state="frozen"/>
      <selection pane="topLeft" activeCell="A1" sqref="A1"/>
      <selection pane="bottomLeft" activeCell="E24" sqref="E24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109" customWidth="1"/>
    <col min="16" max="16" width="16.28125" style="7" customWidth="1"/>
    <col min="17" max="17" width="15.7109375" style="109" customWidth="1"/>
    <col min="18" max="18" width="17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8.00390625" style="122" customWidth="1"/>
    <col min="23" max="23" width="9.28125" style="4" customWidth="1"/>
    <col min="24" max="24" width="15.28125" style="4" customWidth="1"/>
    <col min="25" max="16384" width="9.28125" style="4" customWidth="1"/>
  </cols>
  <sheetData>
    <row r="1" spans="1:19" ht="13.5">
      <c r="A1" s="7"/>
      <c r="B1" s="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5"/>
      <c r="P1" s="91"/>
      <c r="Q1" s="145"/>
      <c r="R1" s="91"/>
      <c r="S1" s="91"/>
    </row>
    <row r="2" spans="1:22" s="2" customFormat="1" ht="13.5">
      <c r="A2" s="7"/>
      <c r="B2" s="7"/>
      <c r="C2" s="7"/>
      <c r="D2" s="357" t="s">
        <v>326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1"/>
      <c r="U2" s="1"/>
      <c r="V2" s="123"/>
    </row>
    <row r="3" spans="1:22" s="2" customFormat="1" ht="13.5">
      <c r="A3" s="7"/>
      <c r="B3" s="7"/>
      <c r="C3" s="7"/>
      <c r="D3" s="94"/>
      <c r="E3" s="74"/>
      <c r="F3" s="94"/>
      <c r="G3" s="94"/>
      <c r="H3" s="94"/>
      <c r="I3" s="94"/>
      <c r="J3" s="94"/>
      <c r="K3" s="94"/>
      <c r="L3" s="94"/>
      <c r="M3" s="74"/>
      <c r="N3" s="74"/>
      <c r="O3" s="117"/>
      <c r="P3" s="74"/>
      <c r="Q3" s="117"/>
      <c r="R3" s="74"/>
      <c r="S3" s="74"/>
      <c r="T3" s="1"/>
      <c r="U3" s="1"/>
      <c r="V3" s="123"/>
    </row>
    <row r="4" spans="1:22" s="2" customFormat="1" ht="30" customHeight="1">
      <c r="A4" s="343" t="s">
        <v>1</v>
      </c>
      <c r="B4" s="343" t="s">
        <v>0</v>
      </c>
      <c r="C4" s="358" t="s">
        <v>2</v>
      </c>
      <c r="D4" s="358"/>
      <c r="E4" s="359" t="s">
        <v>3</v>
      </c>
      <c r="F4" s="328" t="s">
        <v>4</v>
      </c>
      <c r="G4" s="328" t="s">
        <v>5</v>
      </c>
      <c r="H4" s="328" t="s">
        <v>257</v>
      </c>
      <c r="I4" s="331" t="s">
        <v>6</v>
      </c>
      <c r="J4" s="343" t="s">
        <v>7</v>
      </c>
      <c r="K4" s="343"/>
      <c r="L4" s="331" t="s">
        <v>8</v>
      </c>
      <c r="M4" s="329" t="s">
        <v>315</v>
      </c>
      <c r="N4" s="329" t="s">
        <v>316</v>
      </c>
      <c r="O4" s="330" t="s">
        <v>258</v>
      </c>
      <c r="P4" s="330"/>
      <c r="Q4" s="330"/>
      <c r="R4" s="330"/>
      <c r="S4" s="330"/>
      <c r="T4" s="329" t="s">
        <v>9</v>
      </c>
      <c r="U4" s="329" t="s">
        <v>10</v>
      </c>
      <c r="V4" s="123"/>
    </row>
    <row r="5" spans="1:22" s="2" customFormat="1" ht="15" customHeight="1">
      <c r="A5" s="343"/>
      <c r="B5" s="343"/>
      <c r="C5" s="331" t="s">
        <v>11</v>
      </c>
      <c r="D5" s="331" t="s">
        <v>12</v>
      </c>
      <c r="E5" s="359"/>
      <c r="F5" s="328"/>
      <c r="G5" s="328"/>
      <c r="H5" s="328"/>
      <c r="I5" s="331"/>
      <c r="J5" s="331" t="s">
        <v>13</v>
      </c>
      <c r="K5" s="331" t="s">
        <v>14</v>
      </c>
      <c r="L5" s="331"/>
      <c r="M5" s="329"/>
      <c r="N5" s="329"/>
      <c r="O5" s="330"/>
      <c r="P5" s="330"/>
      <c r="Q5" s="330"/>
      <c r="R5" s="330"/>
      <c r="S5" s="330"/>
      <c r="T5" s="329"/>
      <c r="U5" s="329"/>
      <c r="V5" s="123"/>
    </row>
    <row r="6" spans="1:22" s="2" customFormat="1" ht="24.75" customHeight="1">
      <c r="A6" s="343"/>
      <c r="B6" s="343"/>
      <c r="C6" s="331"/>
      <c r="D6" s="331"/>
      <c r="E6" s="359"/>
      <c r="F6" s="328"/>
      <c r="G6" s="328"/>
      <c r="H6" s="328"/>
      <c r="I6" s="331"/>
      <c r="J6" s="331"/>
      <c r="K6" s="331"/>
      <c r="L6" s="331"/>
      <c r="M6" s="329"/>
      <c r="N6" s="329"/>
      <c r="O6" s="361">
        <v>2018</v>
      </c>
      <c r="P6" s="361"/>
      <c r="Q6" s="360">
        <v>2019</v>
      </c>
      <c r="R6" s="361">
        <v>2020</v>
      </c>
      <c r="S6" s="361">
        <v>2021</v>
      </c>
      <c r="T6" s="329"/>
      <c r="U6" s="329"/>
      <c r="V6" s="123">
        <v>2019</v>
      </c>
    </row>
    <row r="7" spans="1:22" s="2" customFormat="1" ht="39.75" customHeight="1">
      <c r="A7" s="343"/>
      <c r="B7" s="343"/>
      <c r="C7" s="331"/>
      <c r="D7" s="331"/>
      <c r="E7" s="359"/>
      <c r="F7" s="328"/>
      <c r="G7" s="328"/>
      <c r="H7" s="328"/>
      <c r="I7" s="331"/>
      <c r="J7" s="331"/>
      <c r="K7" s="331"/>
      <c r="L7" s="331"/>
      <c r="M7" s="329"/>
      <c r="N7" s="329"/>
      <c r="O7" s="361"/>
      <c r="P7" s="361"/>
      <c r="Q7" s="360"/>
      <c r="R7" s="361"/>
      <c r="S7" s="361"/>
      <c r="T7" s="329"/>
      <c r="U7" s="329"/>
      <c r="V7" s="123"/>
    </row>
    <row r="8" spans="1:22" s="2" customFormat="1" ht="60" customHeight="1">
      <c r="A8" s="343"/>
      <c r="B8" s="343"/>
      <c r="C8" s="331"/>
      <c r="D8" s="331"/>
      <c r="E8" s="359"/>
      <c r="F8" s="328"/>
      <c r="G8" s="328"/>
      <c r="H8" s="328"/>
      <c r="I8" s="8" t="s">
        <v>15</v>
      </c>
      <c r="J8" s="8" t="s">
        <v>15</v>
      </c>
      <c r="K8" s="8" t="s">
        <v>15</v>
      </c>
      <c r="L8" s="8" t="s">
        <v>16</v>
      </c>
      <c r="M8" s="75" t="s">
        <v>17</v>
      </c>
      <c r="N8" s="75" t="s">
        <v>17</v>
      </c>
      <c r="O8" s="137" t="s">
        <v>17</v>
      </c>
      <c r="P8" s="75" t="s">
        <v>317</v>
      </c>
      <c r="Q8" s="137" t="s">
        <v>17</v>
      </c>
      <c r="R8" s="75" t="s">
        <v>17</v>
      </c>
      <c r="S8" s="75" t="s">
        <v>17</v>
      </c>
      <c r="T8" s="329"/>
      <c r="U8" s="329"/>
      <c r="V8" s="123" t="s">
        <v>17</v>
      </c>
    </row>
    <row r="9" spans="1:22" s="3" customFormat="1" ht="13.5">
      <c r="A9" s="6">
        <v>1</v>
      </c>
      <c r="B9" s="6">
        <v>2</v>
      </c>
      <c r="C9" s="6">
        <v>3</v>
      </c>
      <c r="D9" s="6">
        <v>4</v>
      </c>
      <c r="E9" s="7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76">
        <v>13</v>
      </c>
      <c r="N9" s="125">
        <v>14</v>
      </c>
      <c r="O9" s="109">
        <v>15</v>
      </c>
      <c r="P9" s="138">
        <v>16</v>
      </c>
      <c r="Q9" s="109">
        <v>17</v>
      </c>
      <c r="R9" s="131">
        <v>18</v>
      </c>
      <c r="S9" s="76">
        <v>19</v>
      </c>
      <c r="T9" s="76">
        <v>20</v>
      </c>
      <c r="U9" s="76">
        <v>21</v>
      </c>
      <c r="V9" s="124"/>
    </row>
    <row r="10" spans="1:22" s="3" customFormat="1" ht="12.75">
      <c r="A10" s="335" t="s">
        <v>24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124"/>
    </row>
    <row r="11" spans="1:21" ht="15" customHeight="1">
      <c r="A11" s="352" t="s">
        <v>262</v>
      </c>
      <c r="B11" s="353"/>
      <c r="C11" s="353"/>
      <c r="D11" s="353"/>
      <c r="E11" s="35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</row>
    <row r="12" spans="1:23" ht="15" customHeight="1">
      <c r="A12" s="59">
        <v>1</v>
      </c>
      <c r="B12" s="156" t="s">
        <v>263</v>
      </c>
      <c r="C12" s="147">
        <v>1987</v>
      </c>
      <c r="D12" s="6" t="s">
        <v>182</v>
      </c>
      <c r="E12" s="75" t="s">
        <v>265</v>
      </c>
      <c r="F12" s="154">
        <v>9</v>
      </c>
      <c r="G12" s="154">
        <v>7</v>
      </c>
      <c r="H12" s="6">
        <v>7</v>
      </c>
      <c r="I12" s="10">
        <v>14420</v>
      </c>
      <c r="J12" s="10">
        <v>12576.73</v>
      </c>
      <c r="K12" s="10">
        <v>11732.43</v>
      </c>
      <c r="L12" s="154">
        <v>617</v>
      </c>
      <c r="M12" s="10">
        <v>16698608.339999998</v>
      </c>
      <c r="N12" s="126">
        <v>465740.1</v>
      </c>
      <c r="O12" s="137">
        <f>M12-Q12-R12-S12</f>
        <v>5009585.339999998</v>
      </c>
      <c r="P12" s="139">
        <f>N12</f>
        <v>465740.1</v>
      </c>
      <c r="Q12" s="137">
        <v>3896341</v>
      </c>
      <c r="R12" s="132">
        <f>Q12</f>
        <v>3896341</v>
      </c>
      <c r="S12" s="10">
        <f>R12</f>
        <v>3896341</v>
      </c>
      <c r="T12" s="11">
        <v>43464</v>
      </c>
      <c r="U12" s="75" t="s">
        <v>184</v>
      </c>
      <c r="V12" s="122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56" t="s">
        <v>264</v>
      </c>
      <c r="C13" s="147">
        <v>1986</v>
      </c>
      <c r="D13" s="6" t="s">
        <v>182</v>
      </c>
      <c r="E13" s="75" t="s">
        <v>265</v>
      </c>
      <c r="F13" s="154">
        <v>9</v>
      </c>
      <c r="G13" s="154">
        <v>7</v>
      </c>
      <c r="H13" s="6">
        <v>7</v>
      </c>
      <c r="I13" s="10">
        <v>14511.3</v>
      </c>
      <c r="J13" s="10">
        <v>12744.4</v>
      </c>
      <c r="K13" s="10">
        <v>12012.5</v>
      </c>
      <c r="L13" s="154">
        <v>700</v>
      </c>
      <c r="M13" s="10">
        <v>16698608.339999998</v>
      </c>
      <c r="N13" s="126">
        <v>465740.1</v>
      </c>
      <c r="O13" s="137">
        <f>M13-Q13-R13-S13</f>
        <v>5009585.339999998</v>
      </c>
      <c r="P13" s="139">
        <f>N13</f>
        <v>465740.1</v>
      </c>
      <c r="Q13" s="137">
        <v>3896341</v>
      </c>
      <c r="R13" s="132">
        <f>Q13</f>
        <v>3896341</v>
      </c>
      <c r="S13" s="10">
        <f>R13</f>
        <v>3896341</v>
      </c>
      <c r="T13" s="11">
        <v>43465</v>
      </c>
      <c r="U13" s="75" t="s">
        <v>184</v>
      </c>
      <c r="V13" s="122">
        <f aca="true" t="shared" si="0" ref="V13:V76">M13+N13-O13-P13-Q13-R13-S13</f>
        <v>0</v>
      </c>
    </row>
    <row r="14" spans="1:22" ht="15" customHeight="1">
      <c r="A14" s="336" t="s">
        <v>23</v>
      </c>
      <c r="B14" s="337"/>
      <c r="C14" s="147" t="s">
        <v>261</v>
      </c>
      <c r="D14" s="148" t="s">
        <v>261</v>
      </c>
      <c r="E14" s="83" t="s">
        <v>261</v>
      </c>
      <c r="F14" s="147" t="s">
        <v>261</v>
      </c>
      <c r="G14" s="147" t="s">
        <v>261</v>
      </c>
      <c r="H14" s="59">
        <v>14</v>
      </c>
      <c r="I14" s="10">
        <f>SUM(I12:I13)</f>
        <v>28931.3</v>
      </c>
      <c r="J14" s="10">
        <f>SUM(J12:J13)</f>
        <v>25321.129999999997</v>
      </c>
      <c r="K14" s="10">
        <f>SUM(K12:K13)</f>
        <v>23744.93</v>
      </c>
      <c r="L14" s="10">
        <f>SUM(L12:L13)</f>
        <v>1317</v>
      </c>
      <c r="M14" s="10">
        <f>SUM(M12:M13)</f>
        <v>33397216.679999996</v>
      </c>
      <c r="N14" s="126">
        <f aca="true" t="shared" si="1" ref="N14:S14">SUM(N12:N13)</f>
        <v>931480.2</v>
      </c>
      <c r="O14" s="109">
        <f t="shared" si="1"/>
        <v>10019170.679999996</v>
      </c>
      <c r="P14" s="139">
        <f t="shared" si="1"/>
        <v>931480.2</v>
      </c>
      <c r="Q14" s="109">
        <f t="shared" si="1"/>
        <v>7792682</v>
      </c>
      <c r="R14" s="132">
        <f t="shared" si="1"/>
        <v>7792682</v>
      </c>
      <c r="S14" s="10">
        <f t="shared" si="1"/>
        <v>7792682</v>
      </c>
      <c r="T14" s="67" t="s">
        <v>261</v>
      </c>
      <c r="U14" s="67" t="s">
        <v>261</v>
      </c>
      <c r="V14" s="122">
        <f t="shared" si="0"/>
        <v>0</v>
      </c>
    </row>
    <row r="15" spans="1:22" s="15" customFormat="1" ht="15" customHeight="1">
      <c r="A15" s="341" t="s">
        <v>25</v>
      </c>
      <c r="B15" s="342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6">
        <f t="shared" si="2"/>
        <v>28931.3</v>
      </c>
      <c r="J15" s="16">
        <f t="shared" si="2"/>
        <v>25321.129999999997</v>
      </c>
      <c r="K15" s="16">
        <f t="shared" si="2"/>
        <v>23744.93</v>
      </c>
      <c r="L15" s="16">
        <f t="shared" si="2"/>
        <v>1317</v>
      </c>
      <c r="M15" s="16">
        <f t="shared" si="2"/>
        <v>33397216.679999996</v>
      </c>
      <c r="N15" s="127">
        <f aca="true" t="shared" si="3" ref="N15:S15">N14</f>
        <v>931480.2</v>
      </c>
      <c r="O15" s="111">
        <f t="shared" si="3"/>
        <v>10019170.679999996</v>
      </c>
      <c r="P15" s="140">
        <f t="shared" si="3"/>
        <v>931480.2</v>
      </c>
      <c r="Q15" s="111">
        <f t="shared" si="3"/>
        <v>7792682</v>
      </c>
      <c r="R15" s="133">
        <f t="shared" si="3"/>
        <v>7792682</v>
      </c>
      <c r="S15" s="16">
        <f t="shared" si="3"/>
        <v>7792682</v>
      </c>
      <c r="T15" s="12" t="s">
        <v>261</v>
      </c>
      <c r="U15" s="12" t="s">
        <v>261</v>
      </c>
      <c r="V15" s="122">
        <f t="shared" si="0"/>
        <v>0</v>
      </c>
    </row>
    <row r="16" spans="1:22" ht="15" customHeight="1">
      <c r="A16" s="338" t="s">
        <v>256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40"/>
      <c r="V16" s="122">
        <f t="shared" si="0"/>
        <v>0</v>
      </c>
    </row>
    <row r="17" spans="1:22" ht="13.5">
      <c r="A17" s="345" t="s">
        <v>26</v>
      </c>
      <c r="B17" s="346"/>
      <c r="C17" s="346"/>
      <c r="D17" s="346"/>
      <c r="E17" s="347"/>
      <c r="F17" s="332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4"/>
      <c r="V17" s="122">
        <f t="shared" si="0"/>
        <v>0</v>
      </c>
    </row>
    <row r="18" spans="1:22" ht="13.5">
      <c r="A18" s="59">
        <f>A13+1</f>
        <v>3</v>
      </c>
      <c r="B18" s="157" t="s">
        <v>266</v>
      </c>
      <c r="C18" s="147">
        <v>1940</v>
      </c>
      <c r="D18" s="6"/>
      <c r="E18" s="75" t="s">
        <v>268</v>
      </c>
      <c r="F18" s="154">
        <v>7</v>
      </c>
      <c r="G18" s="154">
        <v>2</v>
      </c>
      <c r="H18" s="18">
        <v>1</v>
      </c>
      <c r="I18" s="10">
        <v>2285.03</v>
      </c>
      <c r="J18" s="10">
        <v>2246.6</v>
      </c>
      <c r="K18" s="10">
        <v>2136.8</v>
      </c>
      <c r="L18" s="154">
        <v>95</v>
      </c>
      <c r="M18" s="10">
        <v>3249638.58</v>
      </c>
      <c r="N18" s="126">
        <v>61029.6</v>
      </c>
      <c r="O18" s="137">
        <f>M18-Q18-R18-S18</f>
        <v>974891.5800000001</v>
      </c>
      <c r="P18" s="139">
        <f>N18</f>
        <v>61029.6</v>
      </c>
      <c r="Q18" s="137">
        <v>758249</v>
      </c>
      <c r="R18" s="132">
        <f>Q18</f>
        <v>758249</v>
      </c>
      <c r="S18" s="10">
        <f>R18</f>
        <v>758249</v>
      </c>
      <c r="T18" s="11">
        <v>43464</v>
      </c>
      <c r="U18" s="75" t="s">
        <v>184</v>
      </c>
      <c r="V18" s="122">
        <f t="shared" si="0"/>
        <v>0</v>
      </c>
    </row>
    <row r="19" spans="1:22" ht="13.5">
      <c r="A19" s="59">
        <f>A18+1</f>
        <v>4</v>
      </c>
      <c r="B19" s="158" t="s">
        <v>267</v>
      </c>
      <c r="C19" s="154">
        <v>1976</v>
      </c>
      <c r="D19" s="157"/>
      <c r="E19" s="75" t="s">
        <v>265</v>
      </c>
      <c r="F19" s="154">
        <v>9</v>
      </c>
      <c r="G19" s="154">
        <v>4</v>
      </c>
      <c r="H19" s="18">
        <v>1</v>
      </c>
      <c r="I19" s="10">
        <v>7907.28</v>
      </c>
      <c r="J19" s="10">
        <v>5050.34</v>
      </c>
      <c r="K19" s="10">
        <v>3529.04</v>
      </c>
      <c r="L19" s="154">
        <v>386</v>
      </c>
      <c r="M19" s="10">
        <v>2421558.24</v>
      </c>
      <c r="N19" s="126">
        <v>66534.3</v>
      </c>
      <c r="O19" s="137">
        <f>M19-Q19-R19-S19</f>
        <v>726468.2400000002</v>
      </c>
      <c r="P19" s="139">
        <f>N19</f>
        <v>66534.3</v>
      </c>
      <c r="Q19" s="137">
        <v>565030</v>
      </c>
      <c r="R19" s="132">
        <f>Q19</f>
        <v>565030</v>
      </c>
      <c r="S19" s="10">
        <f>R19</f>
        <v>565030</v>
      </c>
      <c r="T19" s="11">
        <v>43464</v>
      </c>
      <c r="U19" s="75" t="s">
        <v>184</v>
      </c>
      <c r="V19" s="122">
        <f t="shared" si="0"/>
        <v>0</v>
      </c>
    </row>
    <row r="20" spans="1:22" ht="15" customHeight="1">
      <c r="A20" s="336" t="s">
        <v>23</v>
      </c>
      <c r="B20" s="337"/>
      <c r="C20" s="8" t="s">
        <v>261</v>
      </c>
      <c r="D20" s="8" t="s">
        <v>261</v>
      </c>
      <c r="E20" s="6" t="s">
        <v>261</v>
      </c>
      <c r="F20" s="8" t="s">
        <v>261</v>
      </c>
      <c r="G20" s="8" t="s">
        <v>261</v>
      </c>
      <c r="H20" s="10">
        <f aca="true" t="shared" si="4" ref="H20:M20">SUM(H18:H19)</f>
        <v>2</v>
      </c>
      <c r="I20" s="10">
        <f t="shared" si="4"/>
        <v>10192.31</v>
      </c>
      <c r="J20" s="10">
        <f t="shared" si="4"/>
        <v>7296.9400000000005</v>
      </c>
      <c r="K20" s="10">
        <f t="shared" si="4"/>
        <v>5665.84</v>
      </c>
      <c r="L20" s="10">
        <f t="shared" si="4"/>
        <v>481</v>
      </c>
      <c r="M20" s="10">
        <f t="shared" si="4"/>
        <v>5671196.82</v>
      </c>
      <c r="N20" s="126">
        <f aca="true" t="shared" si="5" ref="N20:S20">SUM(N18:N19)</f>
        <v>127563.9</v>
      </c>
      <c r="O20" s="109">
        <f t="shared" si="5"/>
        <v>1701359.8200000003</v>
      </c>
      <c r="P20" s="139">
        <f t="shared" si="5"/>
        <v>127563.9</v>
      </c>
      <c r="Q20" s="109">
        <f t="shared" si="5"/>
        <v>1323279</v>
      </c>
      <c r="R20" s="132">
        <f t="shared" si="5"/>
        <v>1323279</v>
      </c>
      <c r="S20" s="10">
        <f t="shared" si="5"/>
        <v>1323279</v>
      </c>
      <c r="T20" s="6" t="s">
        <v>261</v>
      </c>
      <c r="U20" s="6" t="s">
        <v>261</v>
      </c>
      <c r="V20" s="122">
        <f t="shared" si="0"/>
        <v>0</v>
      </c>
    </row>
    <row r="21" spans="1:22" ht="15" customHeight="1">
      <c r="A21" s="159" t="s">
        <v>269</v>
      </c>
      <c r="B21" s="160"/>
      <c r="C21" s="160"/>
      <c r="D21" s="160"/>
      <c r="E21" s="161"/>
      <c r="F21" s="12"/>
      <c r="G21" s="12"/>
      <c r="H21" s="12"/>
      <c r="I21" s="12"/>
      <c r="J21" s="12"/>
      <c r="K21" s="12"/>
      <c r="L21" s="12"/>
      <c r="M21" s="146"/>
      <c r="N21" s="162"/>
      <c r="O21" s="111"/>
      <c r="P21" s="163"/>
      <c r="Q21" s="111"/>
      <c r="R21" s="164"/>
      <c r="S21" s="146"/>
      <c r="T21" s="146"/>
      <c r="U21" s="146"/>
      <c r="V21" s="122">
        <f t="shared" si="0"/>
        <v>0</v>
      </c>
    </row>
    <row r="22" spans="1:22" ht="15" customHeight="1">
      <c r="A22" s="165">
        <f>A19+1</f>
        <v>5</v>
      </c>
      <c r="B22" s="156" t="s">
        <v>270</v>
      </c>
      <c r="C22" s="153">
        <v>1982</v>
      </c>
      <c r="D22" s="166"/>
      <c r="E22" s="75" t="s">
        <v>265</v>
      </c>
      <c r="F22" s="153">
        <v>12</v>
      </c>
      <c r="G22" s="153">
        <v>1</v>
      </c>
      <c r="H22" s="18">
        <v>2</v>
      </c>
      <c r="I22" s="152">
        <v>2448.6</v>
      </c>
      <c r="J22" s="152">
        <v>2448.6</v>
      </c>
      <c r="K22" s="152">
        <v>2004.6</v>
      </c>
      <c r="L22" s="153">
        <v>111</v>
      </c>
      <c r="M22" s="10">
        <v>5417787.1</v>
      </c>
      <c r="N22" s="126">
        <v>149586.24</v>
      </c>
      <c r="O22" s="137">
        <f>M22-Q22-R22-S22</f>
        <v>1625337.0999999996</v>
      </c>
      <c r="P22" s="139">
        <f>N22</f>
        <v>149586.24</v>
      </c>
      <c r="Q22" s="137">
        <v>1264150</v>
      </c>
      <c r="R22" s="132">
        <f>Q22</f>
        <v>1264150</v>
      </c>
      <c r="S22" s="10">
        <f>R22</f>
        <v>1264150</v>
      </c>
      <c r="T22" s="11">
        <v>43464</v>
      </c>
      <c r="U22" s="75" t="s">
        <v>184</v>
      </c>
      <c r="V22" s="122">
        <f t="shared" si="0"/>
        <v>0</v>
      </c>
    </row>
    <row r="23" spans="1:22" ht="15" customHeight="1">
      <c r="A23" s="165">
        <f>A22+1</f>
        <v>6</v>
      </c>
      <c r="B23" s="156" t="s">
        <v>271</v>
      </c>
      <c r="C23" s="153">
        <v>1980</v>
      </c>
      <c r="D23" s="166"/>
      <c r="E23" s="75" t="s">
        <v>265</v>
      </c>
      <c r="F23" s="153">
        <v>9</v>
      </c>
      <c r="G23" s="153">
        <v>4</v>
      </c>
      <c r="H23" s="18">
        <v>4</v>
      </c>
      <c r="I23" s="152">
        <v>8293.8</v>
      </c>
      <c r="J23" s="152">
        <v>8293.8</v>
      </c>
      <c r="K23" s="152">
        <v>6283.95</v>
      </c>
      <c r="L23" s="153">
        <v>356</v>
      </c>
      <c r="M23" s="10">
        <v>9430303.940000001</v>
      </c>
      <c r="N23" s="126">
        <v>266137.2</v>
      </c>
      <c r="O23" s="137">
        <f>M23-Q23-R23-S23</f>
        <v>2829091.9400000013</v>
      </c>
      <c r="P23" s="139">
        <f>N23</f>
        <v>266137.2</v>
      </c>
      <c r="Q23" s="137">
        <v>2200404</v>
      </c>
      <c r="R23" s="132">
        <f>Q23</f>
        <v>2200404</v>
      </c>
      <c r="S23" s="10">
        <f>R23</f>
        <v>2200404</v>
      </c>
      <c r="T23" s="11">
        <v>43464</v>
      </c>
      <c r="U23" s="75" t="s">
        <v>184</v>
      </c>
      <c r="V23" s="122">
        <f t="shared" si="0"/>
        <v>0</v>
      </c>
    </row>
    <row r="24" spans="1:22" ht="15" customHeight="1">
      <c r="A24" s="348" t="s">
        <v>23</v>
      </c>
      <c r="B24" s="348"/>
      <c r="C24" s="147" t="s">
        <v>261</v>
      </c>
      <c r="D24" s="148" t="s">
        <v>261</v>
      </c>
      <c r="E24" s="83" t="s">
        <v>261</v>
      </c>
      <c r="F24" s="147" t="s">
        <v>261</v>
      </c>
      <c r="G24" s="147" t="s">
        <v>261</v>
      </c>
      <c r="H24" s="152">
        <f aca="true" t="shared" si="6" ref="H24:M24">SUM(H22:H23)</f>
        <v>6</v>
      </c>
      <c r="I24" s="152">
        <f t="shared" si="6"/>
        <v>10742.4</v>
      </c>
      <c r="J24" s="152">
        <f t="shared" si="6"/>
        <v>10742.4</v>
      </c>
      <c r="K24" s="152">
        <f t="shared" si="6"/>
        <v>8288.55</v>
      </c>
      <c r="L24" s="153">
        <f t="shared" si="6"/>
        <v>467</v>
      </c>
      <c r="M24" s="10">
        <f t="shared" si="6"/>
        <v>14848091.040000001</v>
      </c>
      <c r="N24" s="126">
        <f aca="true" t="shared" si="7" ref="N24:S24">SUM(N22:N23)</f>
        <v>415723.44</v>
      </c>
      <c r="O24" s="109">
        <f t="shared" si="7"/>
        <v>4454429.040000001</v>
      </c>
      <c r="P24" s="139">
        <f t="shared" si="7"/>
        <v>415723.44</v>
      </c>
      <c r="Q24" s="109">
        <f t="shared" si="7"/>
        <v>3464554</v>
      </c>
      <c r="R24" s="132">
        <f t="shared" si="7"/>
        <v>3464554</v>
      </c>
      <c r="S24" s="10">
        <f t="shared" si="7"/>
        <v>3464554</v>
      </c>
      <c r="T24" s="67" t="s">
        <v>261</v>
      </c>
      <c r="U24" s="67" t="s">
        <v>261</v>
      </c>
      <c r="V24" s="122">
        <f t="shared" si="0"/>
        <v>0</v>
      </c>
    </row>
    <row r="25" spans="1:22" s="15" customFormat="1" ht="15" customHeight="1">
      <c r="A25" s="341" t="s">
        <v>27</v>
      </c>
      <c r="B25" s="342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4">
        <f t="shared" si="8"/>
        <v>20934.71</v>
      </c>
      <c r="J25" s="14">
        <f t="shared" si="8"/>
        <v>18039.34</v>
      </c>
      <c r="K25" s="14">
        <f t="shared" si="8"/>
        <v>13954.39</v>
      </c>
      <c r="L25" s="14">
        <f t="shared" si="8"/>
        <v>948</v>
      </c>
      <c r="M25" s="14">
        <f t="shared" si="8"/>
        <v>20519287.86</v>
      </c>
      <c r="N25" s="128">
        <f aca="true" t="shared" si="9" ref="N25:S25">N24+N20</f>
        <v>543287.34</v>
      </c>
      <c r="O25" s="111">
        <f t="shared" si="9"/>
        <v>6155788.860000001</v>
      </c>
      <c r="P25" s="141">
        <f t="shared" si="9"/>
        <v>543287.34</v>
      </c>
      <c r="Q25" s="111">
        <f t="shared" si="9"/>
        <v>4787833</v>
      </c>
      <c r="R25" s="134">
        <f t="shared" si="9"/>
        <v>4787833</v>
      </c>
      <c r="S25" s="14">
        <f t="shared" si="9"/>
        <v>4787833</v>
      </c>
      <c r="T25" s="12" t="s">
        <v>261</v>
      </c>
      <c r="U25" s="12" t="s">
        <v>261</v>
      </c>
      <c r="V25" s="122">
        <f t="shared" si="0"/>
        <v>0</v>
      </c>
    </row>
    <row r="26" spans="1:22" s="15" customFormat="1" ht="15" customHeight="1">
      <c r="A26" s="349" t="s">
        <v>273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1"/>
      <c r="V26" s="122">
        <f t="shared" si="0"/>
        <v>0</v>
      </c>
    </row>
    <row r="27" spans="1:22" s="15" customFormat="1" ht="15" customHeight="1">
      <c r="A27" s="352" t="s">
        <v>274</v>
      </c>
      <c r="B27" s="353"/>
      <c r="C27" s="353"/>
      <c r="D27" s="353"/>
      <c r="E27" s="35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122">
        <f t="shared" si="0"/>
        <v>0</v>
      </c>
    </row>
    <row r="28" spans="1:22" s="15" customFormat="1" ht="15" customHeight="1">
      <c r="A28" s="59">
        <f>A23+1</f>
        <v>7</v>
      </c>
      <c r="B28" s="158" t="s">
        <v>275</v>
      </c>
      <c r="C28" s="147">
        <v>1975</v>
      </c>
      <c r="D28" s="6"/>
      <c r="E28" s="75" t="s">
        <v>268</v>
      </c>
      <c r="F28" s="154">
        <v>9</v>
      </c>
      <c r="G28" s="154">
        <v>1</v>
      </c>
      <c r="H28" s="18">
        <v>1</v>
      </c>
      <c r="I28" s="10">
        <v>3520.71</v>
      </c>
      <c r="J28" s="10">
        <v>3520.71</v>
      </c>
      <c r="K28" s="10">
        <v>3520.71</v>
      </c>
      <c r="L28" s="154">
        <v>175</v>
      </c>
      <c r="M28" s="10">
        <v>2352780.76</v>
      </c>
      <c r="N28" s="126">
        <v>66534.3</v>
      </c>
      <c r="O28" s="137">
        <f aca="true" t="shared" si="10" ref="O28:O33">M28-Q28-R28-S28</f>
        <v>705834.7599999998</v>
      </c>
      <c r="P28" s="139">
        <f aca="true" t="shared" si="11" ref="P28:P33">N28</f>
        <v>66534.3</v>
      </c>
      <c r="Q28" s="137">
        <v>548982</v>
      </c>
      <c r="R28" s="132">
        <f aca="true" t="shared" si="12" ref="R28:S33">Q28</f>
        <v>548982</v>
      </c>
      <c r="S28" s="10">
        <f t="shared" si="12"/>
        <v>548982</v>
      </c>
      <c r="T28" s="11">
        <v>43464</v>
      </c>
      <c r="U28" s="75" t="s">
        <v>184</v>
      </c>
      <c r="V28" s="122">
        <f t="shared" si="0"/>
        <v>0</v>
      </c>
    </row>
    <row r="29" spans="1:22" s="15" customFormat="1" ht="15" customHeight="1">
      <c r="A29" s="165">
        <f>A28+1</f>
        <v>8</v>
      </c>
      <c r="B29" s="158" t="s">
        <v>276</v>
      </c>
      <c r="C29" s="147">
        <v>1976</v>
      </c>
      <c r="D29" s="6"/>
      <c r="E29" s="75" t="s">
        <v>268</v>
      </c>
      <c r="F29" s="154">
        <v>9</v>
      </c>
      <c r="G29" s="154">
        <v>1</v>
      </c>
      <c r="H29" s="18">
        <v>1</v>
      </c>
      <c r="I29" s="10">
        <v>3730.26</v>
      </c>
      <c r="J29" s="10">
        <v>3730.26</v>
      </c>
      <c r="K29" s="10">
        <v>3730.26</v>
      </c>
      <c r="L29" s="154">
        <v>168</v>
      </c>
      <c r="M29" s="10">
        <v>2352780.76</v>
      </c>
      <c r="N29" s="126">
        <v>66534.3</v>
      </c>
      <c r="O29" s="137">
        <f t="shared" si="10"/>
        <v>705834.7599999998</v>
      </c>
      <c r="P29" s="139">
        <f t="shared" si="11"/>
        <v>66534.3</v>
      </c>
      <c r="Q29" s="137">
        <v>548982</v>
      </c>
      <c r="R29" s="132">
        <f>Q29</f>
        <v>548982</v>
      </c>
      <c r="S29" s="10">
        <f t="shared" si="12"/>
        <v>548982</v>
      </c>
      <c r="T29" s="11">
        <v>43464</v>
      </c>
      <c r="U29" s="75" t="s">
        <v>184</v>
      </c>
      <c r="V29" s="122">
        <f t="shared" si="0"/>
        <v>0</v>
      </c>
    </row>
    <row r="30" spans="1:22" s="15" customFormat="1" ht="15" customHeight="1">
      <c r="A30" s="165">
        <f>A29+1</f>
        <v>9</v>
      </c>
      <c r="B30" s="158" t="s">
        <v>277</v>
      </c>
      <c r="C30" s="147">
        <v>1978</v>
      </c>
      <c r="D30" s="6"/>
      <c r="E30" s="75" t="s">
        <v>265</v>
      </c>
      <c r="F30" s="154">
        <v>9</v>
      </c>
      <c r="G30" s="154">
        <v>5</v>
      </c>
      <c r="H30" s="18">
        <v>5</v>
      </c>
      <c r="I30" s="10">
        <v>9186.91</v>
      </c>
      <c r="J30" s="10">
        <v>9186.91</v>
      </c>
      <c r="K30" s="10">
        <v>9186.91</v>
      </c>
      <c r="L30" s="154">
        <v>401</v>
      </c>
      <c r="M30" s="10">
        <v>11608937.94</v>
      </c>
      <c r="N30" s="126">
        <v>332671.5</v>
      </c>
      <c r="O30" s="137">
        <f t="shared" si="10"/>
        <v>3482681.9399999995</v>
      </c>
      <c r="P30" s="139">
        <f t="shared" si="11"/>
        <v>332671.5</v>
      </c>
      <c r="Q30" s="137">
        <v>2708752</v>
      </c>
      <c r="R30" s="132">
        <f t="shared" si="12"/>
        <v>2708752</v>
      </c>
      <c r="S30" s="10">
        <f t="shared" si="12"/>
        <v>2708752</v>
      </c>
      <c r="T30" s="11">
        <v>43464</v>
      </c>
      <c r="U30" s="75" t="s">
        <v>184</v>
      </c>
      <c r="V30" s="122">
        <f t="shared" si="0"/>
        <v>0</v>
      </c>
    </row>
    <row r="31" spans="1:22" s="15" customFormat="1" ht="15" customHeight="1">
      <c r="A31" s="165">
        <f>A30+1</f>
        <v>10</v>
      </c>
      <c r="B31" s="158" t="s">
        <v>278</v>
      </c>
      <c r="C31" s="147">
        <v>1985</v>
      </c>
      <c r="D31" s="6"/>
      <c r="E31" s="75" t="s">
        <v>265</v>
      </c>
      <c r="F31" s="154">
        <v>9</v>
      </c>
      <c r="G31" s="154">
        <v>7</v>
      </c>
      <c r="H31" s="18">
        <v>7</v>
      </c>
      <c r="I31" s="10">
        <v>12871.8</v>
      </c>
      <c r="J31" s="10">
        <v>12871.8</v>
      </c>
      <c r="K31" s="10">
        <v>12871.8</v>
      </c>
      <c r="L31" s="154">
        <v>703</v>
      </c>
      <c r="M31" s="10">
        <v>16643917.7</v>
      </c>
      <c r="N31" s="126">
        <v>465740.1</v>
      </c>
      <c r="O31" s="137">
        <f t="shared" si="10"/>
        <v>4993177.699999999</v>
      </c>
      <c r="P31" s="139">
        <f t="shared" si="11"/>
        <v>465740.1</v>
      </c>
      <c r="Q31" s="137">
        <v>3883580</v>
      </c>
      <c r="R31" s="132">
        <f t="shared" si="12"/>
        <v>3883580</v>
      </c>
      <c r="S31" s="10">
        <f t="shared" si="12"/>
        <v>3883580</v>
      </c>
      <c r="T31" s="11">
        <v>43464</v>
      </c>
      <c r="U31" s="75" t="s">
        <v>184</v>
      </c>
      <c r="V31" s="122">
        <f t="shared" si="0"/>
        <v>0</v>
      </c>
    </row>
    <row r="32" spans="1:22" s="15" customFormat="1" ht="15" customHeight="1">
      <c r="A32" s="165">
        <f>A31+1</f>
        <v>11</v>
      </c>
      <c r="B32" s="158" t="s">
        <v>279</v>
      </c>
      <c r="C32" s="147">
        <v>1984</v>
      </c>
      <c r="D32" s="6"/>
      <c r="E32" s="75" t="s">
        <v>265</v>
      </c>
      <c r="F32" s="154">
        <v>9</v>
      </c>
      <c r="G32" s="154">
        <v>6</v>
      </c>
      <c r="H32" s="18">
        <v>6</v>
      </c>
      <c r="I32" s="10">
        <v>11332.8</v>
      </c>
      <c r="J32" s="10">
        <v>11332.8</v>
      </c>
      <c r="K32" s="10">
        <v>11332.8</v>
      </c>
      <c r="L32" s="154">
        <v>282</v>
      </c>
      <c r="M32" s="10">
        <v>14198672.14</v>
      </c>
      <c r="N32" s="126">
        <v>399205.8</v>
      </c>
      <c r="O32" s="137">
        <f t="shared" si="10"/>
        <v>4259603.140000001</v>
      </c>
      <c r="P32" s="139">
        <f t="shared" si="11"/>
        <v>399205.8</v>
      </c>
      <c r="Q32" s="137">
        <v>3313023</v>
      </c>
      <c r="R32" s="132">
        <f t="shared" si="12"/>
        <v>3313023</v>
      </c>
      <c r="S32" s="10">
        <f t="shared" si="12"/>
        <v>3313023</v>
      </c>
      <c r="T32" s="11">
        <v>43464</v>
      </c>
      <c r="U32" s="75" t="s">
        <v>184</v>
      </c>
      <c r="V32" s="122">
        <f t="shared" si="0"/>
        <v>0</v>
      </c>
    </row>
    <row r="33" spans="1:22" s="15" customFormat="1" ht="15" customHeight="1">
      <c r="A33" s="165">
        <f>A32+1</f>
        <v>12</v>
      </c>
      <c r="B33" s="158" t="s">
        <v>280</v>
      </c>
      <c r="C33" s="147">
        <v>1975</v>
      </c>
      <c r="D33" s="6"/>
      <c r="E33" s="75" t="s">
        <v>265</v>
      </c>
      <c r="F33" s="154">
        <v>9</v>
      </c>
      <c r="G33" s="154">
        <v>1</v>
      </c>
      <c r="H33" s="18">
        <v>2</v>
      </c>
      <c r="I33" s="10">
        <v>3371.5</v>
      </c>
      <c r="J33" s="10">
        <v>3371.5</v>
      </c>
      <c r="K33" s="10">
        <v>3371.5</v>
      </c>
      <c r="L33" s="154">
        <v>283</v>
      </c>
      <c r="M33" s="10">
        <v>4297449.08</v>
      </c>
      <c r="N33" s="126">
        <v>111047.44</v>
      </c>
      <c r="O33" s="137">
        <f t="shared" si="10"/>
        <v>1289235.08</v>
      </c>
      <c r="P33" s="139">
        <f t="shared" si="11"/>
        <v>111047.44</v>
      </c>
      <c r="Q33" s="137">
        <v>1002738</v>
      </c>
      <c r="R33" s="132">
        <f t="shared" si="12"/>
        <v>1002738</v>
      </c>
      <c r="S33" s="10">
        <f t="shared" si="12"/>
        <v>1002738</v>
      </c>
      <c r="T33" s="11">
        <v>43464</v>
      </c>
      <c r="U33" s="75" t="s">
        <v>184</v>
      </c>
      <c r="V33" s="122">
        <f t="shared" si="0"/>
        <v>0</v>
      </c>
    </row>
    <row r="34" spans="1:22" s="15" customFormat="1" ht="15" customHeight="1">
      <c r="A34" s="348" t="s">
        <v>23</v>
      </c>
      <c r="B34" s="348"/>
      <c r="C34" s="147" t="s">
        <v>261</v>
      </c>
      <c r="D34" s="148" t="s">
        <v>261</v>
      </c>
      <c r="E34" s="83" t="s">
        <v>261</v>
      </c>
      <c r="F34" s="147" t="s">
        <v>261</v>
      </c>
      <c r="G34" s="147" t="s">
        <v>261</v>
      </c>
      <c r="H34" s="10">
        <f aca="true" t="shared" si="13" ref="H34:M34">SUM(H28:H33)</f>
        <v>22</v>
      </c>
      <c r="I34" s="10">
        <f t="shared" si="13"/>
        <v>44013.979999999996</v>
      </c>
      <c r="J34" s="10">
        <f t="shared" si="13"/>
        <v>44013.979999999996</v>
      </c>
      <c r="K34" s="10">
        <f t="shared" si="13"/>
        <v>44013.979999999996</v>
      </c>
      <c r="L34" s="154">
        <f t="shared" si="13"/>
        <v>2012</v>
      </c>
      <c r="M34" s="10">
        <f t="shared" si="13"/>
        <v>51454538.379999995</v>
      </c>
      <c r="N34" s="126">
        <f aca="true" t="shared" si="14" ref="N34:S34">SUM(N28:N33)</f>
        <v>1441733.44</v>
      </c>
      <c r="O34" s="109">
        <f t="shared" si="14"/>
        <v>15436367.379999999</v>
      </c>
      <c r="P34" s="139">
        <f t="shared" si="14"/>
        <v>1441733.44</v>
      </c>
      <c r="Q34" s="109">
        <f t="shared" si="14"/>
        <v>12006057</v>
      </c>
      <c r="R34" s="132">
        <f t="shared" si="14"/>
        <v>12006057</v>
      </c>
      <c r="S34" s="10">
        <f t="shared" si="14"/>
        <v>12006057</v>
      </c>
      <c r="T34" s="67" t="s">
        <v>261</v>
      </c>
      <c r="U34" s="67" t="s">
        <v>261</v>
      </c>
      <c r="V34" s="122">
        <f t="shared" si="0"/>
        <v>0</v>
      </c>
    </row>
    <row r="35" spans="1:22" s="15" customFormat="1" ht="15" customHeight="1">
      <c r="A35" s="362" t="s">
        <v>281</v>
      </c>
      <c r="B35" s="362"/>
      <c r="C35" s="362"/>
      <c r="D35" s="149" t="s">
        <v>261</v>
      </c>
      <c r="E35" s="81" t="s">
        <v>261</v>
      </c>
      <c r="F35" s="155" t="s">
        <v>261</v>
      </c>
      <c r="G35" s="155" t="s">
        <v>261</v>
      </c>
      <c r="H35" s="14">
        <f>H34</f>
        <v>22</v>
      </c>
      <c r="I35" s="14">
        <f>I34</f>
        <v>44013.979999999996</v>
      </c>
      <c r="J35" s="14">
        <f aca="true" t="shared" si="15" ref="J35:S35">J34</f>
        <v>44013.979999999996</v>
      </c>
      <c r="K35" s="14">
        <f t="shared" si="15"/>
        <v>44013.979999999996</v>
      </c>
      <c r="L35" s="14">
        <f t="shared" si="15"/>
        <v>2012</v>
      </c>
      <c r="M35" s="80">
        <f t="shared" si="15"/>
        <v>51454538.379999995</v>
      </c>
      <c r="N35" s="129">
        <f t="shared" si="15"/>
        <v>1441733.44</v>
      </c>
      <c r="O35" s="111">
        <f t="shared" si="15"/>
        <v>15436367.379999999</v>
      </c>
      <c r="P35" s="142">
        <f t="shared" si="15"/>
        <v>1441733.44</v>
      </c>
      <c r="Q35" s="111">
        <f t="shared" si="15"/>
        <v>12006057</v>
      </c>
      <c r="R35" s="135">
        <f t="shared" si="15"/>
        <v>12006057</v>
      </c>
      <c r="S35" s="80">
        <f t="shared" si="15"/>
        <v>12006057</v>
      </c>
      <c r="T35" s="70" t="s">
        <v>261</v>
      </c>
      <c r="U35" s="70" t="s">
        <v>261</v>
      </c>
      <c r="V35" s="122">
        <f t="shared" si="0"/>
        <v>0</v>
      </c>
    </row>
    <row r="36" spans="1:22" ht="15" customHeight="1">
      <c r="A36" s="338" t="s">
        <v>28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40"/>
      <c r="V36" s="122">
        <f t="shared" si="0"/>
        <v>0</v>
      </c>
    </row>
    <row r="37" spans="1:22" ht="13.5">
      <c r="A37" s="345" t="s">
        <v>29</v>
      </c>
      <c r="B37" s="346"/>
      <c r="C37" s="346"/>
      <c r="D37" s="346"/>
      <c r="E37" s="347"/>
      <c r="F37" s="332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4"/>
      <c r="V37" s="122">
        <f t="shared" si="0"/>
        <v>0</v>
      </c>
    </row>
    <row r="38" spans="1:22" ht="13.5">
      <c r="A38" s="59">
        <f>A33+1</f>
        <v>13</v>
      </c>
      <c r="B38" s="167" t="s">
        <v>282</v>
      </c>
      <c r="C38" s="147">
        <v>1992</v>
      </c>
      <c r="D38" s="6"/>
      <c r="E38" s="75" t="s">
        <v>265</v>
      </c>
      <c r="F38" s="154">
        <v>9</v>
      </c>
      <c r="G38" s="154">
        <v>1</v>
      </c>
      <c r="H38" s="18">
        <v>1</v>
      </c>
      <c r="I38" s="10">
        <v>2404</v>
      </c>
      <c r="J38" s="10">
        <v>2083</v>
      </c>
      <c r="K38" s="10">
        <v>2028</v>
      </c>
      <c r="L38" s="154">
        <v>108</v>
      </c>
      <c r="M38" s="10">
        <v>2438153.76</v>
      </c>
      <c r="N38" s="126">
        <v>66534.3</v>
      </c>
      <c r="O38" s="137">
        <f>M38-Q38-R38-S38</f>
        <v>731447.7599999998</v>
      </c>
      <c r="P38" s="139">
        <f>N38</f>
        <v>66534.3</v>
      </c>
      <c r="Q38" s="137">
        <v>568902</v>
      </c>
      <c r="R38" s="132">
        <f aca="true" t="shared" si="16" ref="R38:S41">Q38</f>
        <v>568902</v>
      </c>
      <c r="S38" s="10">
        <f t="shared" si="16"/>
        <v>568902</v>
      </c>
      <c r="T38" s="11">
        <v>43464</v>
      </c>
      <c r="U38" s="75" t="s">
        <v>184</v>
      </c>
      <c r="V38" s="122">
        <f t="shared" si="0"/>
        <v>0</v>
      </c>
    </row>
    <row r="39" spans="1:22" ht="13.5">
      <c r="A39" s="59">
        <f>A38+1</f>
        <v>14</v>
      </c>
      <c r="B39" s="167" t="s">
        <v>283</v>
      </c>
      <c r="C39" s="147">
        <v>1990</v>
      </c>
      <c r="D39" s="6"/>
      <c r="E39" s="75" t="s">
        <v>265</v>
      </c>
      <c r="F39" s="154">
        <v>9</v>
      </c>
      <c r="G39" s="154">
        <v>5</v>
      </c>
      <c r="H39" s="18">
        <v>5</v>
      </c>
      <c r="I39" s="10">
        <v>11510</v>
      </c>
      <c r="J39" s="10">
        <v>10173</v>
      </c>
      <c r="K39" s="10">
        <v>9017</v>
      </c>
      <c r="L39" s="154">
        <v>540</v>
      </c>
      <c r="M39" s="10">
        <v>11762070.08</v>
      </c>
      <c r="N39" s="126">
        <v>332671.5</v>
      </c>
      <c r="O39" s="137">
        <f>M39-Q39-R39-S39</f>
        <v>3528621.08</v>
      </c>
      <c r="P39" s="139">
        <f>N39</f>
        <v>332671.5</v>
      </c>
      <c r="Q39" s="137">
        <v>2744483</v>
      </c>
      <c r="R39" s="132">
        <f t="shared" si="16"/>
        <v>2744483</v>
      </c>
      <c r="S39" s="10">
        <f t="shared" si="16"/>
        <v>2744483</v>
      </c>
      <c r="T39" s="11">
        <v>43464</v>
      </c>
      <c r="U39" s="75" t="s">
        <v>184</v>
      </c>
      <c r="V39" s="122">
        <f t="shared" si="0"/>
        <v>0</v>
      </c>
    </row>
    <row r="40" spans="1:22" ht="13.5">
      <c r="A40" s="59">
        <f>A39+1</f>
        <v>15</v>
      </c>
      <c r="B40" s="167" t="s">
        <v>284</v>
      </c>
      <c r="C40" s="147">
        <v>1991</v>
      </c>
      <c r="D40" s="6"/>
      <c r="E40" s="75" t="s">
        <v>265</v>
      </c>
      <c r="F40" s="154">
        <v>9</v>
      </c>
      <c r="G40" s="154">
        <v>1</v>
      </c>
      <c r="H40" s="18">
        <v>1</v>
      </c>
      <c r="I40" s="10">
        <v>2381</v>
      </c>
      <c r="J40" s="10">
        <v>2133</v>
      </c>
      <c r="K40" s="10">
        <v>2067</v>
      </c>
      <c r="L40" s="154">
        <v>105</v>
      </c>
      <c r="M40" s="10">
        <v>2438153.76</v>
      </c>
      <c r="N40" s="126">
        <v>66534.3</v>
      </c>
      <c r="O40" s="137">
        <f>M40-Q40-R40-S40</f>
        <v>731447.7599999998</v>
      </c>
      <c r="P40" s="139">
        <f>N40</f>
        <v>66534.3</v>
      </c>
      <c r="Q40" s="137">
        <v>568902</v>
      </c>
      <c r="R40" s="132">
        <f t="shared" si="16"/>
        <v>568902</v>
      </c>
      <c r="S40" s="10">
        <f t="shared" si="16"/>
        <v>568902</v>
      </c>
      <c r="T40" s="11">
        <v>43464</v>
      </c>
      <c r="U40" s="75" t="s">
        <v>184</v>
      </c>
      <c r="V40" s="122">
        <f t="shared" si="0"/>
        <v>0</v>
      </c>
    </row>
    <row r="41" spans="1:22" ht="13.5">
      <c r="A41" s="59">
        <f>A40+1</f>
        <v>16</v>
      </c>
      <c r="B41" s="167" t="s">
        <v>285</v>
      </c>
      <c r="C41" s="147">
        <v>1991</v>
      </c>
      <c r="D41" s="6"/>
      <c r="E41" s="75" t="s">
        <v>265</v>
      </c>
      <c r="F41" s="154">
        <v>9</v>
      </c>
      <c r="G41" s="154">
        <v>4</v>
      </c>
      <c r="H41" s="18">
        <v>4</v>
      </c>
      <c r="I41" s="10">
        <v>9344</v>
      </c>
      <c r="J41" s="10">
        <v>8132</v>
      </c>
      <c r="K41" s="10">
        <v>7684</v>
      </c>
      <c r="L41" s="154">
        <v>325</v>
      </c>
      <c r="M41" s="10">
        <v>9503310.54</v>
      </c>
      <c r="N41" s="126">
        <v>266137.2</v>
      </c>
      <c r="O41" s="137">
        <f>M41-Q41-R41-S41</f>
        <v>2850993.539999999</v>
      </c>
      <c r="P41" s="139">
        <f>N41</f>
        <v>266137.2</v>
      </c>
      <c r="Q41" s="137">
        <v>2217439</v>
      </c>
      <c r="R41" s="132">
        <f t="shared" si="16"/>
        <v>2217439</v>
      </c>
      <c r="S41" s="10">
        <f t="shared" si="16"/>
        <v>2217439</v>
      </c>
      <c r="T41" s="11">
        <v>43464</v>
      </c>
      <c r="U41" s="75" t="s">
        <v>184</v>
      </c>
      <c r="V41" s="122">
        <f t="shared" si="0"/>
        <v>0</v>
      </c>
    </row>
    <row r="42" spans="1:22" ht="15" customHeight="1">
      <c r="A42" s="336" t="s">
        <v>23</v>
      </c>
      <c r="B42" s="337"/>
      <c r="C42" s="6" t="s">
        <v>261</v>
      </c>
      <c r="D42" s="8" t="s">
        <v>261</v>
      </c>
      <c r="E42" s="6" t="s">
        <v>261</v>
      </c>
      <c r="F42" s="8" t="s">
        <v>261</v>
      </c>
      <c r="G42" s="8" t="s">
        <v>261</v>
      </c>
      <c r="H42" s="10">
        <f aca="true" t="shared" si="17" ref="H42:M42">SUM(H38:H41)</f>
        <v>11</v>
      </c>
      <c r="I42" s="10">
        <f t="shared" si="17"/>
        <v>25639</v>
      </c>
      <c r="J42" s="6">
        <f t="shared" si="17"/>
        <v>22521</v>
      </c>
      <c r="K42" s="6">
        <f t="shared" si="17"/>
        <v>20796</v>
      </c>
      <c r="L42" s="6">
        <f t="shared" si="17"/>
        <v>1078</v>
      </c>
      <c r="M42" s="10">
        <f t="shared" si="17"/>
        <v>26141688.14</v>
      </c>
      <c r="N42" s="126">
        <f aca="true" t="shared" si="18" ref="N42:S42">SUM(N38:N41)</f>
        <v>731877.3</v>
      </c>
      <c r="O42" s="109">
        <f t="shared" si="18"/>
        <v>7842510.139999999</v>
      </c>
      <c r="P42" s="139">
        <f t="shared" si="18"/>
        <v>731877.3</v>
      </c>
      <c r="Q42" s="109">
        <f t="shared" si="18"/>
        <v>6099726</v>
      </c>
      <c r="R42" s="132">
        <f t="shared" si="18"/>
        <v>6099726</v>
      </c>
      <c r="S42" s="10">
        <f t="shared" si="18"/>
        <v>6099726</v>
      </c>
      <c r="T42" s="6" t="s">
        <v>261</v>
      </c>
      <c r="U42" s="6" t="s">
        <v>261</v>
      </c>
      <c r="V42" s="122">
        <f t="shared" si="0"/>
        <v>0</v>
      </c>
    </row>
    <row r="43" spans="1:22" s="15" customFormat="1" ht="15" customHeight="1">
      <c r="A43" s="341" t="s">
        <v>30</v>
      </c>
      <c r="B43" s="342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">
        <f>I42</f>
        <v>25639</v>
      </c>
      <c r="J43" s="12">
        <f>J42</f>
        <v>22521</v>
      </c>
      <c r="K43" s="12">
        <f>K42</f>
        <v>20796</v>
      </c>
      <c r="L43" s="12">
        <f>L42</f>
        <v>1078</v>
      </c>
      <c r="M43" s="12">
        <f aca="true" t="shared" si="19" ref="M43:S43">M42</f>
        <v>26141688.14</v>
      </c>
      <c r="N43" s="130">
        <f t="shared" si="19"/>
        <v>731877.3</v>
      </c>
      <c r="O43" s="111">
        <f t="shared" si="19"/>
        <v>7842510.139999999</v>
      </c>
      <c r="P43" s="143">
        <f t="shared" si="19"/>
        <v>731877.3</v>
      </c>
      <c r="Q43" s="111">
        <f t="shared" si="19"/>
        <v>6099726</v>
      </c>
      <c r="R43" s="136">
        <f t="shared" si="19"/>
        <v>6099726</v>
      </c>
      <c r="S43" s="12">
        <f t="shared" si="19"/>
        <v>6099726</v>
      </c>
      <c r="T43" s="12" t="s">
        <v>261</v>
      </c>
      <c r="U43" s="12" t="s">
        <v>261</v>
      </c>
      <c r="V43" s="122">
        <f t="shared" si="0"/>
        <v>0</v>
      </c>
    </row>
    <row r="44" spans="1:22" ht="15" customHeight="1">
      <c r="A44" s="338" t="s">
        <v>31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40"/>
      <c r="V44" s="122">
        <f t="shared" si="0"/>
        <v>0</v>
      </c>
    </row>
    <row r="45" spans="1:22" ht="13.5">
      <c r="A45" s="345" t="s">
        <v>32</v>
      </c>
      <c r="B45" s="346"/>
      <c r="C45" s="346"/>
      <c r="D45" s="346"/>
      <c r="E45" s="347"/>
      <c r="F45" s="332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4"/>
      <c r="V45" s="122">
        <f t="shared" si="0"/>
        <v>0</v>
      </c>
    </row>
    <row r="46" spans="1:22" ht="13.5">
      <c r="A46" s="59">
        <f>A41+1</f>
        <v>17</v>
      </c>
      <c r="B46" s="158" t="s">
        <v>286</v>
      </c>
      <c r="C46" s="147">
        <v>1990</v>
      </c>
      <c r="D46" s="6"/>
      <c r="E46" s="75" t="s">
        <v>265</v>
      </c>
      <c r="F46" s="154">
        <v>9</v>
      </c>
      <c r="G46" s="154">
        <v>1</v>
      </c>
      <c r="H46" s="12">
        <v>1</v>
      </c>
      <c r="I46" s="10">
        <v>2275.02</v>
      </c>
      <c r="J46" s="10">
        <v>2071.06</v>
      </c>
      <c r="K46" s="10">
        <v>1942.46</v>
      </c>
      <c r="L46" s="154">
        <v>94</v>
      </c>
      <c r="M46" s="10">
        <v>2340928.84</v>
      </c>
      <c r="N46" s="126">
        <v>66534.3</v>
      </c>
      <c r="O46" s="137">
        <f>M46-Q46-R46-S46</f>
        <v>702280.8399999999</v>
      </c>
      <c r="P46" s="139">
        <f>N46</f>
        <v>66534.3</v>
      </c>
      <c r="Q46" s="137">
        <v>546216</v>
      </c>
      <c r="R46" s="132">
        <f>Q46</f>
        <v>546216</v>
      </c>
      <c r="S46" s="10">
        <f>R46</f>
        <v>546216</v>
      </c>
      <c r="T46" s="11">
        <v>43464</v>
      </c>
      <c r="U46" s="75" t="s">
        <v>184</v>
      </c>
      <c r="V46" s="122">
        <f t="shared" si="0"/>
        <v>0</v>
      </c>
    </row>
    <row r="47" spans="1:22" ht="15" customHeight="1">
      <c r="A47" s="336" t="s">
        <v>23</v>
      </c>
      <c r="B47" s="337"/>
      <c r="C47" s="8" t="s">
        <v>261</v>
      </c>
      <c r="D47" s="8" t="s">
        <v>261</v>
      </c>
      <c r="E47" s="6" t="s">
        <v>261</v>
      </c>
      <c r="F47" s="8" t="s">
        <v>261</v>
      </c>
      <c r="G47" s="8" t="s">
        <v>261</v>
      </c>
      <c r="H47" s="6">
        <f aca="true" t="shared" si="20" ref="H47:S47">SUM(H46:H46)</f>
        <v>1</v>
      </c>
      <c r="I47" s="6">
        <f t="shared" si="20"/>
        <v>2275.02</v>
      </c>
      <c r="J47" s="6">
        <f t="shared" si="20"/>
        <v>2071.06</v>
      </c>
      <c r="K47" s="6">
        <f t="shared" si="20"/>
        <v>1942.46</v>
      </c>
      <c r="L47" s="6">
        <f t="shared" si="20"/>
        <v>94</v>
      </c>
      <c r="M47" s="10">
        <f t="shared" si="20"/>
        <v>2340928.84</v>
      </c>
      <c r="N47" s="126">
        <f t="shared" si="20"/>
        <v>66534.3</v>
      </c>
      <c r="O47" s="109">
        <f t="shared" si="20"/>
        <v>702280.8399999999</v>
      </c>
      <c r="P47" s="139">
        <f t="shared" si="20"/>
        <v>66534.3</v>
      </c>
      <c r="Q47" s="109">
        <f t="shared" si="20"/>
        <v>546216</v>
      </c>
      <c r="R47" s="132">
        <f t="shared" si="20"/>
        <v>546216</v>
      </c>
      <c r="S47" s="10">
        <f t="shared" si="20"/>
        <v>546216</v>
      </c>
      <c r="T47" s="6" t="s">
        <v>261</v>
      </c>
      <c r="U47" s="6" t="s">
        <v>261</v>
      </c>
      <c r="V47" s="122">
        <f t="shared" si="0"/>
        <v>0</v>
      </c>
    </row>
    <row r="48" spans="1:22" ht="13.5">
      <c r="A48" s="345" t="s">
        <v>33</v>
      </c>
      <c r="B48" s="346"/>
      <c r="C48" s="346"/>
      <c r="D48" s="346"/>
      <c r="E48" s="347"/>
      <c r="F48" s="332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4"/>
      <c r="V48" s="122">
        <f t="shared" si="0"/>
        <v>0</v>
      </c>
    </row>
    <row r="49" spans="1:22" ht="13.5">
      <c r="A49" s="59">
        <f>A46+1</f>
        <v>18</v>
      </c>
      <c r="B49" s="168" t="s">
        <v>287</v>
      </c>
      <c r="C49" s="147">
        <v>1980</v>
      </c>
      <c r="D49" s="6"/>
      <c r="E49" s="75" t="s">
        <v>265</v>
      </c>
      <c r="F49" s="154">
        <v>9</v>
      </c>
      <c r="G49" s="154">
        <v>12</v>
      </c>
      <c r="H49" s="12">
        <v>4</v>
      </c>
      <c r="I49" s="10">
        <v>22019.1</v>
      </c>
      <c r="J49" s="10">
        <v>14983.8</v>
      </c>
      <c r="K49" s="10">
        <v>12618.93</v>
      </c>
      <c r="L49" s="154">
        <v>1008</v>
      </c>
      <c r="M49" s="109">
        <v>9391994.06</v>
      </c>
      <c r="N49" s="169">
        <v>266137.2</v>
      </c>
      <c r="O49" s="137">
        <f>M49-Q49-R49-S49</f>
        <v>2817599.0600000005</v>
      </c>
      <c r="P49" s="139">
        <f>N49</f>
        <v>266137.2</v>
      </c>
      <c r="Q49" s="137">
        <v>2191465</v>
      </c>
      <c r="R49" s="132">
        <f>Q49</f>
        <v>2191465</v>
      </c>
      <c r="S49" s="10">
        <f>R49</f>
        <v>2191465</v>
      </c>
      <c r="T49" s="11">
        <v>43464</v>
      </c>
      <c r="U49" s="75" t="s">
        <v>184</v>
      </c>
      <c r="V49" s="122">
        <f t="shared" si="0"/>
        <v>0</v>
      </c>
    </row>
    <row r="50" spans="1:22" ht="13.5">
      <c r="A50" s="59">
        <f>A49+1</f>
        <v>19</v>
      </c>
      <c r="B50" s="168" t="s">
        <v>288</v>
      </c>
      <c r="C50" s="147">
        <v>1983</v>
      </c>
      <c r="D50" s="6"/>
      <c r="E50" s="75" t="s">
        <v>265</v>
      </c>
      <c r="F50" s="154">
        <v>9</v>
      </c>
      <c r="G50" s="154">
        <v>7</v>
      </c>
      <c r="H50" s="12">
        <v>1</v>
      </c>
      <c r="I50" s="10">
        <v>12831.6</v>
      </c>
      <c r="J50" s="10">
        <v>8745.51</v>
      </c>
      <c r="K50" s="10">
        <v>6773.54</v>
      </c>
      <c r="L50" s="154">
        <v>584</v>
      </c>
      <c r="M50" s="109">
        <v>2461653.46</v>
      </c>
      <c r="N50" s="169">
        <v>66534.3</v>
      </c>
      <c r="O50" s="137">
        <f>M50-Q50-R50-S50</f>
        <v>738498.46</v>
      </c>
      <c r="P50" s="139">
        <f>N50</f>
        <v>66534.3</v>
      </c>
      <c r="Q50" s="137">
        <v>574385</v>
      </c>
      <c r="R50" s="132">
        <f>Q50</f>
        <v>574385</v>
      </c>
      <c r="S50" s="10">
        <f>R50</f>
        <v>574385</v>
      </c>
      <c r="T50" s="11">
        <v>43464</v>
      </c>
      <c r="U50" s="75" t="s">
        <v>184</v>
      </c>
      <c r="V50" s="122">
        <f t="shared" si="0"/>
        <v>0</v>
      </c>
    </row>
    <row r="51" spans="1:22" ht="15" customHeight="1">
      <c r="A51" s="336" t="s">
        <v>23</v>
      </c>
      <c r="B51" s="337"/>
      <c r="C51" s="8" t="s">
        <v>261</v>
      </c>
      <c r="D51" s="8" t="s">
        <v>261</v>
      </c>
      <c r="E51" s="6" t="s">
        <v>261</v>
      </c>
      <c r="F51" s="8" t="s">
        <v>261</v>
      </c>
      <c r="G51" s="8" t="s">
        <v>261</v>
      </c>
      <c r="H51" s="10">
        <f aca="true" t="shared" si="21" ref="H51:S51">SUM(H49:H50)</f>
        <v>5</v>
      </c>
      <c r="I51" s="10">
        <f t="shared" si="21"/>
        <v>34850.7</v>
      </c>
      <c r="J51" s="10">
        <f t="shared" si="21"/>
        <v>23729.309999999998</v>
      </c>
      <c r="K51" s="10">
        <f t="shared" si="21"/>
        <v>19392.47</v>
      </c>
      <c r="L51" s="10">
        <f t="shared" si="21"/>
        <v>1592</v>
      </c>
      <c r="M51" s="10">
        <f t="shared" si="21"/>
        <v>11853647.52</v>
      </c>
      <c r="N51" s="126">
        <f t="shared" si="21"/>
        <v>332671.5</v>
      </c>
      <c r="O51" s="109">
        <f t="shared" si="21"/>
        <v>3556097.5200000005</v>
      </c>
      <c r="P51" s="139">
        <f t="shared" si="21"/>
        <v>332671.5</v>
      </c>
      <c r="Q51" s="109">
        <f t="shared" si="21"/>
        <v>2765850</v>
      </c>
      <c r="R51" s="132">
        <f t="shared" si="21"/>
        <v>2765850</v>
      </c>
      <c r="S51" s="10">
        <f t="shared" si="21"/>
        <v>2765850</v>
      </c>
      <c r="T51" s="6" t="s">
        <v>261</v>
      </c>
      <c r="U51" s="6" t="s">
        <v>261</v>
      </c>
      <c r="V51" s="122">
        <f t="shared" si="0"/>
        <v>0</v>
      </c>
    </row>
    <row r="52" spans="1:22" ht="13.5">
      <c r="A52" s="345" t="s">
        <v>44</v>
      </c>
      <c r="B52" s="346"/>
      <c r="C52" s="346"/>
      <c r="D52" s="346"/>
      <c r="E52" s="347"/>
      <c r="F52" s="332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4"/>
      <c r="V52" s="122">
        <f t="shared" si="0"/>
        <v>0</v>
      </c>
    </row>
    <row r="53" spans="1:22" ht="13.5">
      <c r="A53" s="59">
        <f>A50+1</f>
        <v>20</v>
      </c>
      <c r="B53" s="170" t="s">
        <v>289</v>
      </c>
      <c r="C53" s="147">
        <v>1984</v>
      </c>
      <c r="D53" s="6"/>
      <c r="E53" s="75" t="s">
        <v>265</v>
      </c>
      <c r="F53" s="154">
        <v>9</v>
      </c>
      <c r="G53" s="154">
        <v>5</v>
      </c>
      <c r="H53" s="6">
        <v>5</v>
      </c>
      <c r="I53" s="10">
        <v>11654.1</v>
      </c>
      <c r="J53" s="10">
        <v>10062.3</v>
      </c>
      <c r="K53" s="10">
        <v>8936.38</v>
      </c>
      <c r="L53" s="171">
        <v>488</v>
      </c>
      <c r="M53" s="10">
        <v>11779839.7</v>
      </c>
      <c r="N53" s="126">
        <v>332671.5</v>
      </c>
      <c r="O53" s="137">
        <f>M53-Q53-R53-S53</f>
        <v>3533952.6999999993</v>
      </c>
      <c r="P53" s="139">
        <f>N53</f>
        <v>332671.5</v>
      </c>
      <c r="Q53" s="137">
        <v>2748629</v>
      </c>
      <c r="R53" s="132">
        <f aca="true" t="shared" si="22" ref="R53:S57">Q53</f>
        <v>2748629</v>
      </c>
      <c r="S53" s="10">
        <f t="shared" si="22"/>
        <v>2748629</v>
      </c>
      <c r="T53" s="11">
        <v>43464</v>
      </c>
      <c r="U53" s="75" t="s">
        <v>184</v>
      </c>
      <c r="V53" s="122">
        <f t="shared" si="0"/>
        <v>0</v>
      </c>
    </row>
    <row r="54" spans="1:22" ht="13.5">
      <c r="A54" s="59">
        <f>A53+1</f>
        <v>21</v>
      </c>
      <c r="B54" s="170" t="s">
        <v>290</v>
      </c>
      <c r="C54" s="147">
        <v>1983</v>
      </c>
      <c r="D54" s="6"/>
      <c r="E54" s="75" t="s">
        <v>265</v>
      </c>
      <c r="F54" s="154">
        <v>9</v>
      </c>
      <c r="G54" s="154">
        <v>5</v>
      </c>
      <c r="H54" s="6">
        <v>5</v>
      </c>
      <c r="I54" s="10">
        <v>11742.9</v>
      </c>
      <c r="J54" s="10">
        <v>10115.39</v>
      </c>
      <c r="K54" s="10">
        <v>9271.56</v>
      </c>
      <c r="L54" s="171">
        <v>457</v>
      </c>
      <c r="M54" s="10">
        <v>11795603.32</v>
      </c>
      <c r="N54" s="126">
        <v>332671.5</v>
      </c>
      <c r="O54" s="137">
        <f>M54-Q54-R54-S54</f>
        <v>3538682.3200000003</v>
      </c>
      <c r="P54" s="139">
        <f>N54</f>
        <v>332671.5</v>
      </c>
      <c r="Q54" s="137">
        <v>2752307</v>
      </c>
      <c r="R54" s="132">
        <f t="shared" si="22"/>
        <v>2752307</v>
      </c>
      <c r="S54" s="10">
        <f t="shared" si="22"/>
        <v>2752307</v>
      </c>
      <c r="T54" s="11">
        <v>43464</v>
      </c>
      <c r="U54" s="75" t="s">
        <v>184</v>
      </c>
      <c r="V54" s="122">
        <f t="shared" si="0"/>
        <v>0</v>
      </c>
    </row>
    <row r="55" spans="1:22" ht="13.5">
      <c r="A55" s="59">
        <f>A54+1</f>
        <v>22</v>
      </c>
      <c r="B55" s="170" t="s">
        <v>291</v>
      </c>
      <c r="C55" s="147">
        <v>1975</v>
      </c>
      <c r="D55" s="6"/>
      <c r="E55" s="75" t="s">
        <v>268</v>
      </c>
      <c r="F55" s="154">
        <v>9</v>
      </c>
      <c r="G55" s="154">
        <v>2</v>
      </c>
      <c r="H55" s="6">
        <v>2</v>
      </c>
      <c r="I55" s="10">
        <v>5754.1</v>
      </c>
      <c r="J55" s="10">
        <v>2912.9</v>
      </c>
      <c r="K55" s="10">
        <v>1307.89</v>
      </c>
      <c r="L55" s="171">
        <v>289</v>
      </c>
      <c r="M55" s="10">
        <v>4274966.54</v>
      </c>
      <c r="N55" s="126">
        <v>111047.44</v>
      </c>
      <c r="O55" s="137">
        <f>M55-Q55-R55-S55</f>
        <v>1282490.54</v>
      </c>
      <c r="P55" s="139">
        <f>N55</f>
        <v>111047.44</v>
      </c>
      <c r="Q55" s="137">
        <v>997492</v>
      </c>
      <c r="R55" s="132">
        <f t="shared" si="22"/>
        <v>997492</v>
      </c>
      <c r="S55" s="10">
        <f t="shared" si="22"/>
        <v>997492</v>
      </c>
      <c r="T55" s="11">
        <v>43464</v>
      </c>
      <c r="U55" s="75" t="s">
        <v>184</v>
      </c>
      <c r="V55" s="122">
        <f t="shared" si="0"/>
        <v>0</v>
      </c>
    </row>
    <row r="56" spans="1:22" ht="13.5">
      <c r="A56" s="59">
        <f>A55+1</f>
        <v>23</v>
      </c>
      <c r="B56" s="170" t="s">
        <v>292</v>
      </c>
      <c r="C56" s="147">
        <v>1985</v>
      </c>
      <c r="D56" s="6"/>
      <c r="E56" s="75" t="s">
        <v>265</v>
      </c>
      <c r="F56" s="154">
        <v>9</v>
      </c>
      <c r="G56" s="154">
        <v>7</v>
      </c>
      <c r="H56" s="6">
        <v>7</v>
      </c>
      <c r="I56" s="10">
        <v>16480.1</v>
      </c>
      <c r="J56" s="10">
        <v>13944.43</v>
      </c>
      <c r="K56" s="10">
        <v>11896.78</v>
      </c>
      <c r="L56" s="171">
        <v>706</v>
      </c>
      <c r="M56" s="10">
        <v>16517667.139999997</v>
      </c>
      <c r="N56" s="126">
        <v>465740.1</v>
      </c>
      <c r="O56" s="137">
        <f>M56-Q56-R56-S56</f>
        <v>4955301.139999997</v>
      </c>
      <c r="P56" s="139">
        <f>N56</f>
        <v>465740.1</v>
      </c>
      <c r="Q56" s="137">
        <v>3854122</v>
      </c>
      <c r="R56" s="132">
        <f t="shared" si="22"/>
        <v>3854122</v>
      </c>
      <c r="S56" s="10">
        <f t="shared" si="22"/>
        <v>3854122</v>
      </c>
      <c r="T56" s="11">
        <v>43464</v>
      </c>
      <c r="U56" s="75" t="s">
        <v>184</v>
      </c>
      <c r="V56" s="122">
        <f t="shared" si="0"/>
        <v>0</v>
      </c>
    </row>
    <row r="57" spans="1:23" ht="13.5">
      <c r="A57" s="59">
        <f>A56+1</f>
        <v>24</v>
      </c>
      <c r="B57" s="170" t="s">
        <v>293</v>
      </c>
      <c r="C57" s="147">
        <v>1989</v>
      </c>
      <c r="D57" s="6"/>
      <c r="E57" s="75" t="s">
        <v>268</v>
      </c>
      <c r="F57" s="154">
        <v>12</v>
      </c>
      <c r="G57" s="154">
        <v>1</v>
      </c>
      <c r="H57" s="6">
        <v>2</v>
      </c>
      <c r="I57" s="10">
        <v>7437.1</v>
      </c>
      <c r="J57" s="10">
        <v>6830</v>
      </c>
      <c r="K57" s="10">
        <v>6457.7</v>
      </c>
      <c r="L57" s="154">
        <v>328</v>
      </c>
      <c r="M57" s="6">
        <v>4642281.66</v>
      </c>
      <c r="N57" s="121">
        <v>122059.2</v>
      </c>
      <c r="O57" s="137">
        <f>M57-Q57-R57-S57</f>
        <v>1392684.6600000001</v>
      </c>
      <c r="P57" s="139">
        <f>N57</f>
        <v>122059.2</v>
      </c>
      <c r="Q57" s="144">
        <v>1083199</v>
      </c>
      <c r="R57" s="132">
        <f t="shared" si="22"/>
        <v>1083199</v>
      </c>
      <c r="S57" s="10">
        <f t="shared" si="22"/>
        <v>1083199</v>
      </c>
      <c r="T57" s="11">
        <v>43464</v>
      </c>
      <c r="U57" s="75" t="s">
        <v>184</v>
      </c>
      <c r="V57" s="122">
        <f t="shared" si="0"/>
        <v>0</v>
      </c>
      <c r="W57" s="4" t="s">
        <v>318</v>
      </c>
    </row>
    <row r="58" spans="1:22" ht="15" customHeight="1">
      <c r="A58" s="336" t="s">
        <v>23</v>
      </c>
      <c r="B58" s="337"/>
      <c r="C58" s="8" t="s">
        <v>261</v>
      </c>
      <c r="D58" s="8" t="s">
        <v>261</v>
      </c>
      <c r="E58" s="6" t="s">
        <v>261</v>
      </c>
      <c r="F58" s="8" t="s">
        <v>261</v>
      </c>
      <c r="G58" s="8" t="s">
        <v>261</v>
      </c>
      <c r="H58" s="10">
        <f aca="true" t="shared" si="23" ref="H58:M58">SUM(H53:H57)</f>
        <v>21</v>
      </c>
      <c r="I58" s="10">
        <f t="shared" si="23"/>
        <v>53068.299999999996</v>
      </c>
      <c r="J58" s="10">
        <f t="shared" si="23"/>
        <v>43865.020000000004</v>
      </c>
      <c r="K58" s="10">
        <f t="shared" si="23"/>
        <v>37870.31</v>
      </c>
      <c r="L58" s="10">
        <f t="shared" si="23"/>
        <v>2268</v>
      </c>
      <c r="M58" s="10">
        <f t="shared" si="23"/>
        <v>49010358.36</v>
      </c>
      <c r="N58" s="126">
        <f aca="true" t="shared" si="24" ref="N58:S58">SUM(N53:N57)</f>
        <v>1364189.74</v>
      </c>
      <c r="O58" s="109">
        <f t="shared" si="24"/>
        <v>14703111.359999996</v>
      </c>
      <c r="P58" s="139">
        <f t="shared" si="24"/>
        <v>1364189.74</v>
      </c>
      <c r="Q58" s="109">
        <f t="shared" si="24"/>
        <v>11435749</v>
      </c>
      <c r="R58" s="132">
        <f t="shared" si="24"/>
        <v>11435749</v>
      </c>
      <c r="S58" s="10">
        <f t="shared" si="24"/>
        <v>11435749</v>
      </c>
      <c r="T58" s="6" t="s">
        <v>261</v>
      </c>
      <c r="U58" s="6" t="s">
        <v>261</v>
      </c>
      <c r="V58" s="122">
        <f t="shared" si="0"/>
        <v>0</v>
      </c>
    </row>
    <row r="59" spans="1:22" s="15" customFormat="1" ht="13.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4">
        <f t="shared" si="25"/>
        <v>90194.02</v>
      </c>
      <c r="J59" s="14">
        <f t="shared" si="25"/>
        <v>69665.39</v>
      </c>
      <c r="K59" s="14">
        <f t="shared" si="25"/>
        <v>59205.24</v>
      </c>
      <c r="L59" s="14">
        <f t="shared" si="25"/>
        <v>3954</v>
      </c>
      <c r="M59" s="14">
        <f t="shared" si="25"/>
        <v>63204934.72</v>
      </c>
      <c r="N59" s="128">
        <f t="shared" si="25"/>
        <v>1763395.54</v>
      </c>
      <c r="O59" s="111">
        <f t="shared" si="25"/>
        <v>18961489.719999995</v>
      </c>
      <c r="P59" s="141">
        <f t="shared" si="25"/>
        <v>1763395.54</v>
      </c>
      <c r="Q59" s="111">
        <f t="shared" si="25"/>
        <v>14747815</v>
      </c>
      <c r="R59" s="134">
        <f t="shared" si="25"/>
        <v>14747815</v>
      </c>
      <c r="S59" s="14">
        <f t="shared" si="25"/>
        <v>14747815</v>
      </c>
      <c r="T59" s="12" t="s">
        <v>261</v>
      </c>
      <c r="U59" s="12" t="s">
        <v>261</v>
      </c>
      <c r="V59" s="122">
        <f t="shared" si="0"/>
        <v>0</v>
      </c>
    </row>
    <row r="60" spans="1:22" ht="15" customHeight="1">
      <c r="A60" s="338" t="s">
        <v>38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40"/>
      <c r="V60" s="122">
        <f t="shared" si="0"/>
        <v>0</v>
      </c>
    </row>
    <row r="61" spans="1:22" ht="13.5">
      <c r="A61" s="345" t="s">
        <v>39</v>
      </c>
      <c r="B61" s="346"/>
      <c r="C61" s="346"/>
      <c r="D61" s="346"/>
      <c r="E61" s="347"/>
      <c r="F61" s="332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4"/>
      <c r="V61" s="122">
        <f t="shared" si="0"/>
        <v>0</v>
      </c>
    </row>
    <row r="62" spans="1:22" ht="13.5">
      <c r="A62" s="154">
        <f>A57+1</f>
        <v>25</v>
      </c>
      <c r="B62" s="170" t="s">
        <v>298</v>
      </c>
      <c r="C62" s="147">
        <v>1995</v>
      </c>
      <c r="D62" s="6"/>
      <c r="E62" s="76" t="s">
        <v>188</v>
      </c>
      <c r="F62" s="154">
        <v>9</v>
      </c>
      <c r="G62" s="154">
        <v>1</v>
      </c>
      <c r="H62" s="6">
        <v>1</v>
      </c>
      <c r="I62" s="10">
        <v>4294.5</v>
      </c>
      <c r="J62" s="10">
        <v>3229.2</v>
      </c>
      <c r="K62" s="10">
        <v>2388.5</v>
      </c>
      <c r="L62" s="154">
        <v>169</v>
      </c>
      <c r="M62" s="10">
        <v>2405345.04</v>
      </c>
      <c r="N62" s="126">
        <v>66534.3</v>
      </c>
      <c r="O62" s="137">
        <f>M62-Q62-R62-S62</f>
        <v>721604.04</v>
      </c>
      <c r="P62" s="139">
        <f>N62</f>
        <v>66534.3</v>
      </c>
      <c r="Q62" s="137">
        <v>561247</v>
      </c>
      <c r="R62" s="132">
        <f>Q62</f>
        <v>561247</v>
      </c>
      <c r="S62" s="10">
        <f>R62</f>
        <v>561247</v>
      </c>
      <c r="T62" s="11">
        <v>43464</v>
      </c>
      <c r="U62" s="75" t="s">
        <v>184</v>
      </c>
      <c r="V62" s="122">
        <f t="shared" si="0"/>
        <v>0</v>
      </c>
    </row>
    <row r="63" spans="1:22" ht="15" customHeight="1">
      <c r="A63" s="336" t="s">
        <v>23</v>
      </c>
      <c r="B63" s="337"/>
      <c r="C63" s="8" t="s">
        <v>261</v>
      </c>
      <c r="D63" s="8" t="s">
        <v>261</v>
      </c>
      <c r="E63" s="6" t="s">
        <v>261</v>
      </c>
      <c r="F63" s="8" t="s">
        <v>261</v>
      </c>
      <c r="G63" s="8" t="s">
        <v>261</v>
      </c>
      <c r="H63" s="6">
        <f aca="true" t="shared" si="26" ref="H63:S63">SUM(H62:H62)</f>
        <v>1</v>
      </c>
      <c r="I63" s="6">
        <f t="shared" si="26"/>
        <v>4294.5</v>
      </c>
      <c r="J63" s="6">
        <f t="shared" si="26"/>
        <v>3229.2</v>
      </c>
      <c r="K63" s="6">
        <f t="shared" si="26"/>
        <v>2388.5</v>
      </c>
      <c r="L63" s="6">
        <f t="shared" si="26"/>
        <v>169</v>
      </c>
      <c r="M63" s="10">
        <f t="shared" si="26"/>
        <v>2405345.04</v>
      </c>
      <c r="N63" s="126">
        <f t="shared" si="26"/>
        <v>66534.3</v>
      </c>
      <c r="O63" s="109">
        <f t="shared" si="26"/>
        <v>721604.04</v>
      </c>
      <c r="P63" s="139">
        <f t="shared" si="26"/>
        <v>66534.3</v>
      </c>
      <c r="Q63" s="109">
        <f t="shared" si="26"/>
        <v>561247</v>
      </c>
      <c r="R63" s="132">
        <f t="shared" si="26"/>
        <v>561247</v>
      </c>
      <c r="S63" s="10">
        <f t="shared" si="26"/>
        <v>561247</v>
      </c>
      <c r="T63" s="6" t="s">
        <v>261</v>
      </c>
      <c r="U63" s="6" t="s">
        <v>261</v>
      </c>
      <c r="V63" s="122">
        <f t="shared" si="0"/>
        <v>0</v>
      </c>
    </row>
    <row r="64" spans="1:22" s="15" customFormat="1" ht="15" customHeight="1">
      <c r="A64" s="341" t="s">
        <v>40</v>
      </c>
      <c r="B64" s="342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">
        <f>I63</f>
        <v>4294.5</v>
      </c>
      <c r="J64" s="12">
        <f>J63</f>
        <v>3229.2</v>
      </c>
      <c r="K64" s="12">
        <f>K63</f>
        <v>2388.5</v>
      </c>
      <c r="L64" s="12">
        <f>L63</f>
        <v>169</v>
      </c>
      <c r="M64" s="14">
        <f aca="true" t="shared" si="27" ref="M64:S64">M63</f>
        <v>2405345.04</v>
      </c>
      <c r="N64" s="130">
        <f t="shared" si="27"/>
        <v>66534.3</v>
      </c>
      <c r="O64" s="111">
        <f t="shared" si="27"/>
        <v>721604.04</v>
      </c>
      <c r="P64" s="143">
        <f t="shared" si="27"/>
        <v>66534.3</v>
      </c>
      <c r="Q64" s="111">
        <f t="shared" si="27"/>
        <v>561247</v>
      </c>
      <c r="R64" s="134">
        <f t="shared" si="27"/>
        <v>561247</v>
      </c>
      <c r="S64" s="14">
        <f t="shared" si="27"/>
        <v>561247</v>
      </c>
      <c r="T64" s="12" t="s">
        <v>261</v>
      </c>
      <c r="U64" s="12" t="s">
        <v>261</v>
      </c>
      <c r="V64" s="122">
        <f t="shared" si="0"/>
        <v>0</v>
      </c>
    </row>
    <row r="65" spans="1:22" ht="15" customHeight="1">
      <c r="A65" s="338" t="s">
        <v>181</v>
      </c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40"/>
      <c r="V65" s="122">
        <f t="shared" si="0"/>
        <v>0</v>
      </c>
    </row>
    <row r="66" spans="1:22" ht="13.5">
      <c r="A66" s="59">
        <f>A62+1</f>
        <v>26</v>
      </c>
      <c r="B66" s="170" t="s">
        <v>303</v>
      </c>
      <c r="C66" s="147">
        <v>1984</v>
      </c>
      <c r="D66" s="6"/>
      <c r="E66" s="75" t="s">
        <v>268</v>
      </c>
      <c r="F66" s="154">
        <v>10</v>
      </c>
      <c r="G66" s="154">
        <v>1</v>
      </c>
      <c r="H66" s="6">
        <v>1</v>
      </c>
      <c r="I66" s="10">
        <v>2006.5</v>
      </c>
      <c r="J66" s="10">
        <v>2006.5</v>
      </c>
      <c r="K66" s="10">
        <v>1231.8</v>
      </c>
      <c r="L66" s="154">
        <v>87</v>
      </c>
      <c r="M66" s="10">
        <v>2402822.2</v>
      </c>
      <c r="N66" s="126">
        <v>66534.3</v>
      </c>
      <c r="O66" s="137">
        <f aca="true" t="shared" si="28" ref="O66:O74">M66-Q66-R66-S66</f>
        <v>720848.2000000002</v>
      </c>
      <c r="P66" s="139">
        <f aca="true" t="shared" si="29" ref="P66:P74">N66</f>
        <v>66534.3</v>
      </c>
      <c r="Q66" s="137">
        <v>560658</v>
      </c>
      <c r="R66" s="132">
        <f aca="true" t="shared" si="30" ref="R66:S74">Q66</f>
        <v>560658</v>
      </c>
      <c r="S66" s="10">
        <f t="shared" si="30"/>
        <v>560658</v>
      </c>
      <c r="T66" s="11">
        <v>43464</v>
      </c>
      <c r="U66" s="75" t="s">
        <v>184</v>
      </c>
      <c r="V66" s="122">
        <f t="shared" si="0"/>
        <v>0</v>
      </c>
    </row>
    <row r="67" spans="1:22" ht="13.5">
      <c r="A67" s="6">
        <f aca="true" t="shared" si="31" ref="A67:A74">A66+1</f>
        <v>27</v>
      </c>
      <c r="B67" s="170" t="s">
        <v>304</v>
      </c>
      <c r="C67" s="153">
        <v>1980</v>
      </c>
      <c r="D67" s="166"/>
      <c r="E67" s="75" t="s">
        <v>268</v>
      </c>
      <c r="F67" s="153">
        <v>9</v>
      </c>
      <c r="G67" s="153">
        <v>1</v>
      </c>
      <c r="H67" s="6">
        <v>1</v>
      </c>
      <c r="I67" s="152">
        <v>1945.2</v>
      </c>
      <c r="J67" s="152">
        <v>1945.2</v>
      </c>
      <c r="K67" s="152">
        <v>1186.8</v>
      </c>
      <c r="L67" s="153">
        <v>73</v>
      </c>
      <c r="M67" s="10">
        <v>2478450.76</v>
      </c>
      <c r="N67" s="126">
        <v>66534.3</v>
      </c>
      <c r="O67" s="137">
        <f t="shared" si="28"/>
        <v>743535.7599999998</v>
      </c>
      <c r="P67" s="139">
        <f t="shared" si="29"/>
        <v>66534.3</v>
      </c>
      <c r="Q67" s="137">
        <v>578305</v>
      </c>
      <c r="R67" s="132">
        <f t="shared" si="30"/>
        <v>578305</v>
      </c>
      <c r="S67" s="10">
        <f t="shared" si="30"/>
        <v>578305</v>
      </c>
      <c r="T67" s="11">
        <v>43464</v>
      </c>
      <c r="U67" s="75" t="s">
        <v>184</v>
      </c>
      <c r="V67" s="122">
        <f t="shared" si="0"/>
        <v>0</v>
      </c>
    </row>
    <row r="68" spans="1:22" ht="13.5">
      <c r="A68" s="6">
        <f t="shared" si="31"/>
        <v>28</v>
      </c>
      <c r="B68" s="170" t="s">
        <v>305</v>
      </c>
      <c r="C68" s="153">
        <v>1971</v>
      </c>
      <c r="D68" s="166"/>
      <c r="E68" s="75" t="s">
        <v>268</v>
      </c>
      <c r="F68" s="153">
        <v>9</v>
      </c>
      <c r="G68" s="153">
        <v>3</v>
      </c>
      <c r="H68" s="6">
        <v>3</v>
      </c>
      <c r="I68" s="152">
        <v>5546.8</v>
      </c>
      <c r="J68" s="172">
        <v>5497.37</v>
      </c>
      <c r="K68" s="172">
        <v>5336.5</v>
      </c>
      <c r="L68" s="153">
        <v>251</v>
      </c>
      <c r="M68" s="10">
        <v>7026040.96</v>
      </c>
      <c r="N68" s="126">
        <v>199602.90000000002</v>
      </c>
      <c r="O68" s="137">
        <f t="shared" si="28"/>
        <v>2107813.96</v>
      </c>
      <c r="P68" s="139">
        <f t="shared" si="29"/>
        <v>199602.90000000002</v>
      </c>
      <c r="Q68" s="137">
        <v>1639409</v>
      </c>
      <c r="R68" s="132">
        <f t="shared" si="30"/>
        <v>1639409</v>
      </c>
      <c r="S68" s="10">
        <f t="shared" si="30"/>
        <v>1639409</v>
      </c>
      <c r="T68" s="11">
        <v>43464</v>
      </c>
      <c r="U68" s="75" t="s">
        <v>184</v>
      </c>
      <c r="V68" s="122">
        <f t="shared" si="0"/>
        <v>0</v>
      </c>
    </row>
    <row r="69" spans="1:22" ht="13.5">
      <c r="A69" s="6">
        <f t="shared" si="31"/>
        <v>29</v>
      </c>
      <c r="B69" s="170" t="s">
        <v>306</v>
      </c>
      <c r="C69" s="147">
        <v>1971</v>
      </c>
      <c r="D69" s="6"/>
      <c r="E69" s="75" t="s">
        <v>268</v>
      </c>
      <c r="F69" s="154">
        <v>9</v>
      </c>
      <c r="G69" s="154">
        <v>3</v>
      </c>
      <c r="H69" s="6">
        <v>3</v>
      </c>
      <c r="I69" s="10">
        <v>5528.1</v>
      </c>
      <c r="J69" s="10">
        <v>5528.1</v>
      </c>
      <c r="K69" s="10">
        <v>3599.3</v>
      </c>
      <c r="L69" s="154">
        <v>264</v>
      </c>
      <c r="M69" s="109">
        <v>7019333.84</v>
      </c>
      <c r="N69" s="126">
        <v>199602.90000000002</v>
      </c>
      <c r="O69" s="137">
        <f t="shared" si="28"/>
        <v>2105801.84</v>
      </c>
      <c r="P69" s="139">
        <f t="shared" si="29"/>
        <v>199602.90000000002</v>
      </c>
      <c r="Q69" s="173">
        <v>1637844</v>
      </c>
      <c r="R69" s="132">
        <f t="shared" si="30"/>
        <v>1637844</v>
      </c>
      <c r="S69" s="10">
        <f t="shared" si="30"/>
        <v>1637844</v>
      </c>
      <c r="T69" s="11">
        <v>43464</v>
      </c>
      <c r="U69" s="75" t="s">
        <v>184</v>
      </c>
      <c r="V69" s="122">
        <f t="shared" si="0"/>
        <v>0</v>
      </c>
    </row>
    <row r="70" spans="1:22" ht="13.5">
      <c r="A70" s="6">
        <f t="shared" si="31"/>
        <v>30</v>
      </c>
      <c r="B70" s="170" t="s">
        <v>307</v>
      </c>
      <c r="C70" s="153">
        <v>1967</v>
      </c>
      <c r="D70" s="166"/>
      <c r="E70" s="75" t="s">
        <v>268</v>
      </c>
      <c r="F70" s="153">
        <v>9</v>
      </c>
      <c r="G70" s="153">
        <v>1</v>
      </c>
      <c r="H70" s="6">
        <v>1</v>
      </c>
      <c r="I70" s="152">
        <v>2050.2</v>
      </c>
      <c r="J70" s="172">
        <v>1939.7</v>
      </c>
      <c r="K70" s="172">
        <v>1939.7</v>
      </c>
      <c r="L70" s="153">
        <v>70</v>
      </c>
      <c r="M70" s="10">
        <v>3680239.46</v>
      </c>
      <c r="N70" s="126">
        <v>66534.3</v>
      </c>
      <c r="O70" s="137">
        <f t="shared" si="28"/>
        <v>1104073.46</v>
      </c>
      <c r="P70" s="139">
        <f t="shared" si="29"/>
        <v>66534.3</v>
      </c>
      <c r="Q70" s="137">
        <v>858722</v>
      </c>
      <c r="R70" s="132">
        <f t="shared" si="30"/>
        <v>858722</v>
      </c>
      <c r="S70" s="10">
        <f t="shared" si="30"/>
        <v>858722</v>
      </c>
      <c r="T70" s="11">
        <v>43464</v>
      </c>
      <c r="U70" s="75" t="s">
        <v>184</v>
      </c>
      <c r="V70" s="122">
        <f t="shared" si="0"/>
        <v>0</v>
      </c>
    </row>
    <row r="71" spans="1:22" ht="13.5">
      <c r="A71" s="6">
        <f t="shared" si="31"/>
        <v>31</v>
      </c>
      <c r="B71" s="170" t="s">
        <v>308</v>
      </c>
      <c r="C71" s="153">
        <v>1979</v>
      </c>
      <c r="D71" s="166"/>
      <c r="E71" s="76" t="s">
        <v>188</v>
      </c>
      <c r="F71" s="153">
        <v>9</v>
      </c>
      <c r="G71" s="153">
        <v>6</v>
      </c>
      <c r="H71" s="6">
        <v>6</v>
      </c>
      <c r="I71" s="152">
        <v>12483</v>
      </c>
      <c r="J71" s="152">
        <v>11198</v>
      </c>
      <c r="K71" s="152">
        <v>10050.9</v>
      </c>
      <c r="L71" s="153">
        <v>549</v>
      </c>
      <c r="M71" s="10">
        <v>14104556.52</v>
      </c>
      <c r="N71" s="126">
        <v>399205.8</v>
      </c>
      <c r="O71" s="137">
        <f t="shared" si="28"/>
        <v>4231367.52</v>
      </c>
      <c r="P71" s="139">
        <f t="shared" si="29"/>
        <v>399205.8</v>
      </c>
      <c r="Q71" s="137">
        <v>3291063</v>
      </c>
      <c r="R71" s="132">
        <f t="shared" si="30"/>
        <v>3291063</v>
      </c>
      <c r="S71" s="10">
        <f t="shared" si="30"/>
        <v>3291063</v>
      </c>
      <c r="T71" s="11">
        <v>43464</v>
      </c>
      <c r="U71" s="75" t="s">
        <v>184</v>
      </c>
      <c r="V71" s="122">
        <f t="shared" si="0"/>
        <v>0</v>
      </c>
    </row>
    <row r="72" spans="1:22" ht="13.5">
      <c r="A72" s="6">
        <f t="shared" si="31"/>
        <v>32</v>
      </c>
      <c r="B72" s="170" t="s">
        <v>309</v>
      </c>
      <c r="C72" s="153">
        <v>1982</v>
      </c>
      <c r="D72" s="166"/>
      <c r="E72" s="75" t="s">
        <v>268</v>
      </c>
      <c r="F72" s="153">
        <v>9</v>
      </c>
      <c r="G72" s="153">
        <v>1</v>
      </c>
      <c r="H72" s="6">
        <v>1</v>
      </c>
      <c r="I72" s="152">
        <v>2322.2</v>
      </c>
      <c r="J72" s="152">
        <v>1933.8</v>
      </c>
      <c r="K72" s="152">
        <v>1933.8</v>
      </c>
      <c r="L72" s="153">
        <v>87</v>
      </c>
      <c r="M72" s="10">
        <v>2427414.58</v>
      </c>
      <c r="N72" s="126">
        <v>66534.3</v>
      </c>
      <c r="O72" s="137">
        <f t="shared" si="28"/>
        <v>728226.5800000001</v>
      </c>
      <c r="P72" s="139">
        <f t="shared" si="29"/>
        <v>66534.3</v>
      </c>
      <c r="Q72" s="137">
        <v>566396</v>
      </c>
      <c r="R72" s="132">
        <f t="shared" si="30"/>
        <v>566396</v>
      </c>
      <c r="S72" s="10">
        <f t="shared" si="30"/>
        <v>566396</v>
      </c>
      <c r="T72" s="11">
        <v>43464</v>
      </c>
      <c r="U72" s="75" t="s">
        <v>184</v>
      </c>
      <c r="V72" s="122">
        <f t="shared" si="0"/>
        <v>0</v>
      </c>
    </row>
    <row r="73" spans="1:22" ht="13.5">
      <c r="A73" s="6">
        <f t="shared" si="31"/>
        <v>33</v>
      </c>
      <c r="B73" s="157" t="s">
        <v>310</v>
      </c>
      <c r="C73" s="153">
        <v>1982</v>
      </c>
      <c r="D73" s="166"/>
      <c r="E73" s="75" t="s">
        <v>268</v>
      </c>
      <c r="F73" s="153">
        <v>9</v>
      </c>
      <c r="G73" s="153">
        <v>1</v>
      </c>
      <c r="H73" s="6">
        <v>1</v>
      </c>
      <c r="I73" s="152">
        <v>2243</v>
      </c>
      <c r="J73" s="152">
        <v>1954</v>
      </c>
      <c r="K73" s="152">
        <v>1791.6</v>
      </c>
      <c r="L73" s="153">
        <v>96</v>
      </c>
      <c r="M73" s="10">
        <v>2427414.58</v>
      </c>
      <c r="N73" s="126">
        <v>66534.3</v>
      </c>
      <c r="O73" s="137">
        <f t="shared" si="28"/>
        <v>728226.5800000001</v>
      </c>
      <c r="P73" s="139">
        <f t="shared" si="29"/>
        <v>66534.3</v>
      </c>
      <c r="Q73" s="137">
        <v>566396</v>
      </c>
      <c r="R73" s="132">
        <f t="shared" si="30"/>
        <v>566396</v>
      </c>
      <c r="S73" s="10">
        <f t="shared" si="30"/>
        <v>566396</v>
      </c>
      <c r="T73" s="11">
        <v>43464</v>
      </c>
      <c r="U73" s="75" t="s">
        <v>184</v>
      </c>
      <c r="V73" s="122">
        <f t="shared" si="0"/>
        <v>0</v>
      </c>
    </row>
    <row r="74" spans="1:22" ht="13.5">
      <c r="A74" s="6">
        <f t="shared" si="31"/>
        <v>34</v>
      </c>
      <c r="B74" s="157" t="s">
        <v>311</v>
      </c>
      <c r="C74" s="174">
        <v>1980</v>
      </c>
      <c r="D74" s="175"/>
      <c r="E74" s="75" t="s">
        <v>268</v>
      </c>
      <c r="F74" s="174">
        <v>9</v>
      </c>
      <c r="G74" s="174">
        <v>1</v>
      </c>
      <c r="H74" s="6">
        <v>1</v>
      </c>
      <c r="I74" s="175">
        <v>6080.6</v>
      </c>
      <c r="J74" s="175">
        <v>6080.6</v>
      </c>
      <c r="K74" s="175">
        <v>3128</v>
      </c>
      <c r="L74" s="174">
        <v>262</v>
      </c>
      <c r="M74" s="10">
        <v>2383923.32</v>
      </c>
      <c r="N74" s="126">
        <v>66534.3</v>
      </c>
      <c r="O74" s="137">
        <f t="shared" si="28"/>
        <v>715089.3199999998</v>
      </c>
      <c r="P74" s="139">
        <f t="shared" si="29"/>
        <v>66534.3</v>
      </c>
      <c r="Q74" s="137">
        <v>556278</v>
      </c>
      <c r="R74" s="132">
        <f t="shared" si="30"/>
        <v>556278</v>
      </c>
      <c r="S74" s="10">
        <f t="shared" si="30"/>
        <v>556278</v>
      </c>
      <c r="T74" s="11">
        <v>43464</v>
      </c>
      <c r="U74" s="75" t="s">
        <v>184</v>
      </c>
      <c r="V74" s="122">
        <f t="shared" si="0"/>
        <v>0</v>
      </c>
    </row>
    <row r="75" spans="1:22" s="15" customFormat="1" ht="15" customHeight="1">
      <c r="A75" s="341" t="s">
        <v>23</v>
      </c>
      <c r="B75" s="342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4">
        <f t="shared" si="32"/>
        <v>40205.6</v>
      </c>
      <c r="J75" s="14">
        <f t="shared" si="32"/>
        <v>38083.27</v>
      </c>
      <c r="K75" s="14">
        <f t="shared" si="32"/>
        <v>30198.399999999998</v>
      </c>
      <c r="L75" s="14">
        <f t="shared" si="32"/>
        <v>1739</v>
      </c>
      <c r="M75" s="14">
        <f t="shared" si="32"/>
        <v>43950196.21999999</v>
      </c>
      <c r="N75" s="128">
        <f t="shared" si="32"/>
        <v>1197617.4000000001</v>
      </c>
      <c r="O75" s="111">
        <f t="shared" si="32"/>
        <v>13184983.219999999</v>
      </c>
      <c r="P75" s="141">
        <f t="shared" si="32"/>
        <v>1197617.4000000001</v>
      </c>
      <c r="Q75" s="111">
        <f t="shared" si="32"/>
        <v>10255071</v>
      </c>
      <c r="R75" s="134">
        <f t="shared" si="32"/>
        <v>10255071</v>
      </c>
      <c r="S75" s="14">
        <f t="shared" si="32"/>
        <v>10255071</v>
      </c>
      <c r="T75" s="12" t="s">
        <v>261</v>
      </c>
      <c r="U75" s="12" t="s">
        <v>261</v>
      </c>
      <c r="V75" s="122">
        <f t="shared" si="0"/>
        <v>0</v>
      </c>
    </row>
    <row r="76" spans="1:22" ht="15" customHeight="1">
      <c r="A76" s="338" t="s">
        <v>180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40"/>
      <c r="V76" s="122">
        <f t="shared" si="0"/>
        <v>0</v>
      </c>
    </row>
    <row r="77" spans="1:22" ht="13.5">
      <c r="A77" s="345" t="s">
        <v>41</v>
      </c>
      <c r="B77" s="346"/>
      <c r="C77" s="346"/>
      <c r="D77" s="346"/>
      <c r="E77" s="347"/>
      <c r="F77" s="332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4"/>
      <c r="V77" s="122">
        <f aca="true" t="shared" si="33" ref="V77:V84">M77+N77-O77-P77-Q77-R77-S77</f>
        <v>0</v>
      </c>
    </row>
    <row r="78" spans="1:22" ht="13.5">
      <c r="A78" s="165">
        <f>A74+1</f>
        <v>35</v>
      </c>
      <c r="B78" s="170" t="s">
        <v>312</v>
      </c>
      <c r="C78" s="147">
        <v>1990</v>
      </c>
      <c r="D78" s="8"/>
      <c r="E78" s="75" t="s">
        <v>313</v>
      </c>
      <c r="F78" s="147">
        <v>9</v>
      </c>
      <c r="G78" s="147">
        <v>5</v>
      </c>
      <c r="H78" s="6">
        <v>5</v>
      </c>
      <c r="I78" s="148">
        <v>12617.19</v>
      </c>
      <c r="J78" s="148">
        <v>10892.59</v>
      </c>
      <c r="K78" s="148">
        <v>9984.01</v>
      </c>
      <c r="L78" s="147">
        <v>544</v>
      </c>
      <c r="M78" s="10">
        <v>12079778</v>
      </c>
      <c r="N78" s="126">
        <v>332671.5</v>
      </c>
      <c r="O78" s="137">
        <f>M78-Q78-R78-S78</f>
        <v>3623936</v>
      </c>
      <c r="P78" s="139">
        <f>N78</f>
        <v>332671.5</v>
      </c>
      <c r="Q78" s="137">
        <v>2818614</v>
      </c>
      <c r="R78" s="132">
        <f>Q78</f>
        <v>2818614</v>
      </c>
      <c r="S78" s="10">
        <f>R78</f>
        <v>2818614</v>
      </c>
      <c r="T78" s="11">
        <v>43464</v>
      </c>
      <c r="U78" s="75" t="s">
        <v>184</v>
      </c>
      <c r="V78" s="122">
        <f t="shared" si="33"/>
        <v>0</v>
      </c>
    </row>
    <row r="79" spans="1:22" ht="15" customHeight="1">
      <c r="A79" s="336" t="s">
        <v>23</v>
      </c>
      <c r="B79" s="337"/>
      <c r="C79" s="8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10">
        <f>H78</f>
        <v>5</v>
      </c>
      <c r="I79" s="10">
        <f>I78</f>
        <v>12617.19</v>
      </c>
      <c r="J79" s="10">
        <f aca="true" t="shared" si="34" ref="J79:S79">J78</f>
        <v>10892.59</v>
      </c>
      <c r="K79" s="10">
        <f t="shared" si="34"/>
        <v>9984.01</v>
      </c>
      <c r="L79" s="10">
        <f t="shared" si="34"/>
        <v>544</v>
      </c>
      <c r="M79" s="10">
        <f t="shared" si="34"/>
        <v>12079778</v>
      </c>
      <c r="N79" s="126">
        <f t="shared" si="34"/>
        <v>332671.5</v>
      </c>
      <c r="O79" s="109">
        <f t="shared" si="34"/>
        <v>3623936</v>
      </c>
      <c r="P79" s="139">
        <f t="shared" si="34"/>
        <v>332671.5</v>
      </c>
      <c r="Q79" s="109">
        <f t="shared" si="34"/>
        <v>2818614</v>
      </c>
      <c r="R79" s="132">
        <f t="shared" si="34"/>
        <v>2818614</v>
      </c>
      <c r="S79" s="10">
        <f t="shared" si="34"/>
        <v>2818614</v>
      </c>
      <c r="T79" s="6" t="s">
        <v>261</v>
      </c>
      <c r="U79" s="6" t="s">
        <v>261</v>
      </c>
      <c r="V79" s="122">
        <f t="shared" si="33"/>
        <v>0</v>
      </c>
    </row>
    <row r="80" spans="1:22" s="15" customFormat="1" ht="15" customHeight="1">
      <c r="A80" s="341" t="s">
        <v>42</v>
      </c>
      <c r="B80" s="342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4">
        <f>I79</f>
        <v>12617.19</v>
      </c>
      <c r="J80" s="12">
        <f aca="true" t="shared" si="35" ref="J80:S80">J79</f>
        <v>10892.59</v>
      </c>
      <c r="K80" s="12">
        <f t="shared" si="35"/>
        <v>9984.01</v>
      </c>
      <c r="L80" s="12">
        <f t="shared" si="35"/>
        <v>544</v>
      </c>
      <c r="M80" s="14">
        <f t="shared" si="35"/>
        <v>12079778</v>
      </c>
      <c r="N80" s="128">
        <f t="shared" si="35"/>
        <v>332671.5</v>
      </c>
      <c r="O80" s="111">
        <f t="shared" si="35"/>
        <v>3623936</v>
      </c>
      <c r="P80" s="141">
        <f t="shared" si="35"/>
        <v>332671.5</v>
      </c>
      <c r="Q80" s="111">
        <f t="shared" si="35"/>
        <v>2818614</v>
      </c>
      <c r="R80" s="134">
        <f t="shared" si="35"/>
        <v>2818614</v>
      </c>
      <c r="S80" s="14">
        <f t="shared" si="35"/>
        <v>2818614</v>
      </c>
      <c r="T80" s="6" t="s">
        <v>261</v>
      </c>
      <c r="U80" s="6" t="s">
        <v>261</v>
      </c>
      <c r="V80" s="122">
        <f t="shared" si="33"/>
        <v>0</v>
      </c>
    </row>
    <row r="81" spans="1:22" s="15" customFormat="1" ht="13.5">
      <c r="A81" s="355" t="s">
        <v>43</v>
      </c>
      <c r="B81" s="356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>H80+H75+H64+H59+H43+H25+H15+H35</f>
        <v>106</v>
      </c>
      <c r="I81" s="18">
        <f>I80+I75+I64+I59+I43+I25+I15+I35</f>
        <v>266830.3</v>
      </c>
      <c r="J81" s="18">
        <f>J80+J75+J64+J59+J43+J25+J15+J35</f>
        <v>231765.90000000002</v>
      </c>
      <c r="K81" s="18">
        <f>K80+K75+K64+K59+K43+K25+K15+K35</f>
        <v>204285.44999999995</v>
      </c>
      <c r="L81" s="18">
        <f>L80+L75+L64+L59+L43+L25+L15+L35</f>
        <v>11761</v>
      </c>
      <c r="M81" s="14">
        <f aca="true" t="shared" si="36" ref="M81:S81">M80+M75+M64+M59+M43+M25+M15+M35</f>
        <v>253152985.04000002</v>
      </c>
      <c r="N81" s="128">
        <f t="shared" si="36"/>
        <v>7008597.02</v>
      </c>
      <c r="O81" s="111">
        <f t="shared" si="36"/>
        <v>75945850.03999998</v>
      </c>
      <c r="P81" s="141">
        <f t="shared" si="36"/>
        <v>7008597.02</v>
      </c>
      <c r="Q81" s="111">
        <f t="shared" si="36"/>
        <v>59069045</v>
      </c>
      <c r="R81" s="134">
        <f t="shared" si="36"/>
        <v>59069045</v>
      </c>
      <c r="S81" s="14">
        <f t="shared" si="36"/>
        <v>59069045</v>
      </c>
      <c r="T81" s="12" t="s">
        <v>261</v>
      </c>
      <c r="U81" s="12" t="s">
        <v>261</v>
      </c>
      <c r="V81" s="122">
        <f t="shared" si="33"/>
        <v>0</v>
      </c>
    </row>
    <row r="82" spans="1:22" s="15" customFormat="1" ht="13.5">
      <c r="A82" s="150" t="s">
        <v>22</v>
      </c>
      <c r="B82" s="151"/>
      <c r="C82" s="13"/>
      <c r="D82" s="13"/>
      <c r="E82" s="12"/>
      <c r="F82" s="13"/>
      <c r="G82" s="13"/>
      <c r="H82" s="12"/>
      <c r="I82" s="12"/>
      <c r="J82" s="12"/>
      <c r="K82" s="12"/>
      <c r="L82" s="12"/>
      <c r="M82" s="14">
        <f>M81+N81</f>
        <v>260161582.06000003</v>
      </c>
      <c r="N82" s="128"/>
      <c r="O82" s="111">
        <f>O81</f>
        <v>75945850.03999998</v>
      </c>
      <c r="P82" s="141">
        <f>P81</f>
        <v>7008597.02</v>
      </c>
      <c r="Q82" s="111">
        <f>Q81</f>
        <v>59069045</v>
      </c>
      <c r="R82" s="134">
        <f>R81</f>
        <v>59069045</v>
      </c>
      <c r="S82" s="14">
        <f>S81</f>
        <v>59069045</v>
      </c>
      <c r="T82" s="94"/>
      <c r="U82" s="94"/>
      <c r="V82" s="122">
        <f t="shared" si="33"/>
        <v>0</v>
      </c>
    </row>
    <row r="83" spans="1:22" s="15" customFormat="1" ht="13.5">
      <c r="A83" s="150"/>
      <c r="B83" s="151" t="s">
        <v>322</v>
      </c>
      <c r="C83" s="13"/>
      <c r="D83" s="13"/>
      <c r="E83" s="12"/>
      <c r="F83" s="13"/>
      <c r="G83" s="13"/>
      <c r="H83" s="12"/>
      <c r="I83" s="12"/>
      <c r="J83" s="12"/>
      <c r="K83" s="12"/>
      <c r="L83" s="12"/>
      <c r="M83" s="14">
        <f>M81*0.0214</f>
        <v>5417473.879856</v>
      </c>
      <c r="N83" s="128"/>
      <c r="O83" s="111">
        <f>M83</f>
        <v>5417473.879856</v>
      </c>
      <c r="P83" s="141"/>
      <c r="Q83" s="111"/>
      <c r="R83" s="134"/>
      <c r="S83" s="14"/>
      <c r="T83" s="94"/>
      <c r="U83" s="94"/>
      <c r="V83" s="122">
        <f t="shared" si="33"/>
        <v>0</v>
      </c>
    </row>
    <row r="84" spans="1:22" s="15" customFormat="1" ht="13.5">
      <c r="A84" s="150"/>
      <c r="B84" s="151" t="s">
        <v>323</v>
      </c>
      <c r="C84" s="13"/>
      <c r="D84" s="13"/>
      <c r="E84" s="12"/>
      <c r="F84" s="13"/>
      <c r="G84" s="13"/>
      <c r="H84" s="12"/>
      <c r="I84" s="12"/>
      <c r="J84" s="12"/>
      <c r="K84" s="12"/>
      <c r="L84" s="12"/>
      <c r="M84" s="14">
        <f>M83+M82</f>
        <v>265579055.93985602</v>
      </c>
      <c r="N84" s="128">
        <f aca="true" t="shared" si="37" ref="N84:S84">N83+N82</f>
        <v>0</v>
      </c>
      <c r="O84" s="111">
        <f t="shared" si="37"/>
        <v>81363323.91985598</v>
      </c>
      <c r="P84" s="141">
        <f t="shared" si="37"/>
        <v>7008597.02</v>
      </c>
      <c r="Q84" s="111">
        <f t="shared" si="37"/>
        <v>59069045</v>
      </c>
      <c r="R84" s="134">
        <f t="shared" si="37"/>
        <v>59069045</v>
      </c>
      <c r="S84" s="14">
        <f t="shared" si="37"/>
        <v>59069045</v>
      </c>
      <c r="T84" s="14"/>
      <c r="U84" s="94"/>
      <c r="V84" s="122">
        <f t="shared" si="33"/>
        <v>0</v>
      </c>
    </row>
  </sheetData>
  <sheetProtection/>
  <autoFilter ref="A9:U81"/>
  <mergeCells count="68">
    <mergeCell ref="A42:B42"/>
    <mergeCell ref="S6:S7"/>
    <mergeCell ref="O6:P7"/>
    <mergeCell ref="A34:B34"/>
    <mergeCell ref="F37:U37"/>
    <mergeCell ref="A36:U36"/>
    <mergeCell ref="A37:E37"/>
    <mergeCell ref="A35:C35"/>
    <mergeCell ref="A20:B20"/>
    <mergeCell ref="A17:E17"/>
    <mergeCell ref="D2:S2"/>
    <mergeCell ref="A4:A8"/>
    <mergeCell ref="B4:B8"/>
    <mergeCell ref="C4:D4"/>
    <mergeCell ref="E4:E8"/>
    <mergeCell ref="C5:C8"/>
    <mergeCell ref="Q6:Q7"/>
    <mergeCell ref="R6:R7"/>
    <mergeCell ref="L4:L7"/>
    <mergeCell ref="G4:G8"/>
    <mergeCell ref="A81:B81"/>
    <mergeCell ref="F77:U77"/>
    <mergeCell ref="F45:U45"/>
    <mergeCell ref="F61:U61"/>
    <mergeCell ref="A60:U60"/>
    <mergeCell ref="A44:U44"/>
    <mergeCell ref="A64:B64"/>
    <mergeCell ref="A52:E52"/>
    <mergeCell ref="A45:E45"/>
    <mergeCell ref="A61:E61"/>
    <mergeCell ref="A80:B80"/>
    <mergeCell ref="A48:E48"/>
    <mergeCell ref="A79:B79"/>
    <mergeCell ref="A76:U76"/>
    <mergeCell ref="A75:B75"/>
    <mergeCell ref="A63:B63"/>
    <mergeCell ref="A51:B51"/>
    <mergeCell ref="A65:U65"/>
    <mergeCell ref="A58:B58"/>
    <mergeCell ref="F48:U48"/>
    <mergeCell ref="A25:B25"/>
    <mergeCell ref="F27:U27"/>
    <mergeCell ref="A77:E77"/>
    <mergeCell ref="F11:U11"/>
    <mergeCell ref="A24:B24"/>
    <mergeCell ref="A26:U26"/>
    <mergeCell ref="A15:B15"/>
    <mergeCell ref="A11:E11"/>
    <mergeCell ref="A14:B14"/>
    <mergeCell ref="A27:E27"/>
    <mergeCell ref="F52:U52"/>
    <mergeCell ref="A10:U10"/>
    <mergeCell ref="N4:N7"/>
    <mergeCell ref="F17:U17"/>
    <mergeCell ref="A47:B47"/>
    <mergeCell ref="A16:U16"/>
    <mergeCell ref="M4:M7"/>
    <mergeCell ref="A43:B43"/>
    <mergeCell ref="D5:D8"/>
    <mergeCell ref="J4:K4"/>
    <mergeCell ref="F4:F8"/>
    <mergeCell ref="U4:U8"/>
    <mergeCell ref="O4:S5"/>
    <mergeCell ref="H4:H8"/>
    <mergeCell ref="J5:J7"/>
    <mergeCell ref="T4:T8"/>
    <mergeCell ref="K5:K7"/>
    <mergeCell ref="I4:I7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rowBreaks count="1" manualBreakCount="1">
    <brk id="7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tabSelected="1" view="pageBreakPreview" zoomScale="60" zoomScaleNormal="90" workbookViewId="0" topLeftCell="A1">
      <pane xSplit="2" ySplit="15" topLeftCell="C1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8" sqref="B48"/>
    </sheetView>
  </sheetViews>
  <sheetFormatPr defaultColWidth="9.28125" defaultRowHeight="15"/>
  <cols>
    <col min="1" max="1" width="6.7109375" style="242" customWidth="1"/>
    <col min="2" max="2" width="73.28125" style="242" customWidth="1"/>
    <col min="3" max="3" width="14.28125" style="269" customWidth="1"/>
    <col min="4" max="4" width="9.57421875" style="270" hidden="1" customWidth="1"/>
    <col min="5" max="5" width="15.421875" style="270" customWidth="1"/>
    <col min="6" max="6" width="10.421875" style="270" customWidth="1"/>
    <col min="7" max="8" width="10.57421875" style="270" customWidth="1"/>
    <col min="9" max="9" width="12.7109375" style="224" customWidth="1"/>
    <col min="10" max="10" width="13.7109375" style="224" customWidth="1"/>
    <col min="11" max="11" width="17.28125" style="224" customWidth="1"/>
    <col min="12" max="12" width="12.00390625" style="271" customWidth="1"/>
    <col min="13" max="13" width="19.00390625" style="224" customWidth="1"/>
    <col min="14" max="14" width="20.8515625" style="224" customWidth="1"/>
    <col min="15" max="15" width="19.421875" style="224" customWidth="1"/>
    <col min="16" max="16" width="18.57421875" style="224" customWidth="1"/>
    <col min="17" max="17" width="17.421875" style="224" customWidth="1"/>
    <col min="18" max="18" width="14.28125" style="270" customWidth="1"/>
    <col min="19" max="19" width="15.28125" style="270" customWidth="1"/>
    <col min="20" max="20" width="26.8515625" style="224" hidden="1" customWidth="1"/>
    <col min="21" max="21" width="19.28125" style="242" hidden="1" customWidth="1"/>
    <col min="22" max="31" width="9.28125" style="242" customWidth="1"/>
    <col min="32" max="16384" width="9.28125" style="242" customWidth="1"/>
  </cols>
  <sheetData>
    <row r="1" ht="15">
      <c r="Q1" s="325" t="s">
        <v>560</v>
      </c>
    </row>
    <row r="2" ht="15">
      <c r="Q2" s="325" t="s">
        <v>561</v>
      </c>
    </row>
    <row r="3" ht="15">
      <c r="Q3" s="325" t="s">
        <v>562</v>
      </c>
    </row>
    <row r="4" ht="15">
      <c r="Q4" s="325" t="s">
        <v>563</v>
      </c>
    </row>
    <row r="5" ht="15">
      <c r="Q5" s="326" t="s">
        <v>564</v>
      </c>
    </row>
    <row r="6" ht="15">
      <c r="Q6" s="326" t="s">
        <v>565</v>
      </c>
    </row>
    <row r="7" ht="15">
      <c r="Q7" s="326" t="s">
        <v>566</v>
      </c>
    </row>
    <row r="8" ht="15">
      <c r="Q8" s="327" t="s">
        <v>567</v>
      </c>
    </row>
    <row r="9" ht="15">
      <c r="Q9" s="272"/>
    </row>
    <row r="10" spans="1:19" ht="15" customHeight="1">
      <c r="A10" s="363" t="s">
        <v>559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</row>
    <row r="11" spans="1:19" s="232" customFormat="1" ht="14.25" customHeight="1">
      <c r="A11" s="364" t="s">
        <v>395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</row>
    <row r="12" spans="1:19" s="232" customFormat="1" ht="45.75" customHeight="1">
      <c r="A12" s="375" t="s">
        <v>1</v>
      </c>
      <c r="B12" s="375" t="s">
        <v>0</v>
      </c>
      <c r="C12" s="381" t="s">
        <v>2</v>
      </c>
      <c r="D12" s="382"/>
      <c r="E12" s="378" t="s">
        <v>3</v>
      </c>
      <c r="F12" s="378" t="s">
        <v>4</v>
      </c>
      <c r="G12" s="378" t="s">
        <v>5</v>
      </c>
      <c r="H12" s="378" t="s">
        <v>257</v>
      </c>
      <c r="I12" s="403" t="s">
        <v>6</v>
      </c>
      <c r="J12" s="371" t="s">
        <v>7</v>
      </c>
      <c r="K12" s="372"/>
      <c r="L12" s="390" t="s">
        <v>8</v>
      </c>
      <c r="M12" s="233"/>
      <c r="N12" s="371" t="s">
        <v>327</v>
      </c>
      <c r="O12" s="393"/>
      <c r="P12" s="396" t="s">
        <v>379</v>
      </c>
      <c r="Q12" s="273"/>
      <c r="R12" s="400" t="s">
        <v>9</v>
      </c>
      <c r="S12" s="400" t="s">
        <v>10</v>
      </c>
    </row>
    <row r="13" spans="1:19" s="232" customFormat="1" ht="48.75" customHeight="1">
      <c r="A13" s="376"/>
      <c r="B13" s="376"/>
      <c r="C13" s="383"/>
      <c r="D13" s="384"/>
      <c r="E13" s="379"/>
      <c r="F13" s="379"/>
      <c r="G13" s="379"/>
      <c r="H13" s="379"/>
      <c r="I13" s="404"/>
      <c r="J13" s="373" t="s">
        <v>13</v>
      </c>
      <c r="K13" s="373" t="s">
        <v>14</v>
      </c>
      <c r="L13" s="391"/>
      <c r="M13" s="234" t="s">
        <v>394</v>
      </c>
      <c r="N13" s="394"/>
      <c r="O13" s="395"/>
      <c r="P13" s="397"/>
      <c r="Q13" s="274" t="s">
        <v>393</v>
      </c>
      <c r="R13" s="401"/>
      <c r="S13" s="401"/>
    </row>
    <row r="14" spans="1:20" s="232" customFormat="1" ht="48" customHeight="1">
      <c r="A14" s="376"/>
      <c r="B14" s="376"/>
      <c r="C14" s="383"/>
      <c r="D14" s="384"/>
      <c r="E14" s="379"/>
      <c r="F14" s="379"/>
      <c r="G14" s="379"/>
      <c r="H14" s="379"/>
      <c r="I14" s="405"/>
      <c r="J14" s="374"/>
      <c r="K14" s="374"/>
      <c r="L14" s="392"/>
      <c r="M14" s="235"/>
      <c r="N14" s="236" t="s">
        <v>376</v>
      </c>
      <c r="O14" s="236" t="s">
        <v>377</v>
      </c>
      <c r="P14" s="236" t="s">
        <v>378</v>
      </c>
      <c r="Q14" s="236" t="s">
        <v>378</v>
      </c>
      <c r="R14" s="401"/>
      <c r="S14" s="401"/>
      <c r="T14" s="236" t="s">
        <v>376</v>
      </c>
    </row>
    <row r="15" spans="1:20" s="232" customFormat="1" ht="13.5">
      <c r="A15" s="377"/>
      <c r="B15" s="377"/>
      <c r="C15" s="385"/>
      <c r="D15" s="386"/>
      <c r="E15" s="380"/>
      <c r="F15" s="380"/>
      <c r="G15" s="380"/>
      <c r="H15" s="380"/>
      <c r="I15" s="201" t="s">
        <v>15</v>
      </c>
      <c r="J15" s="201" t="s">
        <v>15</v>
      </c>
      <c r="K15" s="201" t="s">
        <v>15</v>
      </c>
      <c r="L15" s="238" t="s">
        <v>16</v>
      </c>
      <c r="M15" s="201" t="s">
        <v>17</v>
      </c>
      <c r="N15" s="201" t="s">
        <v>17</v>
      </c>
      <c r="O15" s="201" t="s">
        <v>17</v>
      </c>
      <c r="P15" s="201" t="s">
        <v>17</v>
      </c>
      <c r="Q15" s="201" t="s">
        <v>17</v>
      </c>
      <c r="R15" s="402"/>
      <c r="S15" s="402"/>
      <c r="T15" s="201" t="s">
        <v>17</v>
      </c>
    </row>
    <row r="16" spans="1:20" s="240" customFormat="1" ht="13.5">
      <c r="A16" s="239">
        <v>1</v>
      </c>
      <c r="B16" s="239">
        <v>2</v>
      </c>
      <c r="C16" s="239">
        <v>3</v>
      </c>
      <c r="D16" s="239">
        <v>4</v>
      </c>
      <c r="E16" s="239">
        <v>5</v>
      </c>
      <c r="F16" s="239">
        <v>6</v>
      </c>
      <c r="G16" s="239">
        <v>7</v>
      </c>
      <c r="H16" s="239">
        <v>8</v>
      </c>
      <c r="I16" s="179">
        <v>9</v>
      </c>
      <c r="J16" s="179">
        <v>10</v>
      </c>
      <c r="K16" s="179">
        <v>11</v>
      </c>
      <c r="L16" s="179">
        <v>12</v>
      </c>
      <c r="M16" s="179">
        <v>13</v>
      </c>
      <c r="N16" s="179">
        <v>14</v>
      </c>
      <c r="O16" s="179">
        <v>15</v>
      </c>
      <c r="P16" s="179">
        <v>16</v>
      </c>
      <c r="Q16" s="179">
        <v>17</v>
      </c>
      <c r="R16" s="179">
        <v>18</v>
      </c>
      <c r="S16" s="179">
        <v>19</v>
      </c>
      <c r="T16" s="239">
        <v>13</v>
      </c>
    </row>
    <row r="17" spans="1:29" s="219" customFormat="1" ht="15">
      <c r="A17" s="398" t="s">
        <v>328</v>
      </c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275"/>
      <c r="U17" s="275"/>
      <c r="V17" s="275"/>
      <c r="W17" s="275"/>
      <c r="X17" s="275"/>
      <c r="Y17" s="275"/>
      <c r="Z17" s="275"/>
      <c r="AA17" s="275"/>
      <c r="AB17" s="275"/>
      <c r="AC17" s="276"/>
    </row>
    <row r="18" spans="1:20" s="219" customFormat="1" ht="15">
      <c r="A18" s="249" t="s">
        <v>329</v>
      </c>
      <c r="B18" s="277"/>
      <c r="C18" s="216"/>
      <c r="D18" s="216"/>
      <c r="E18" s="216"/>
      <c r="F18" s="216"/>
      <c r="G18" s="216"/>
      <c r="H18" s="216"/>
      <c r="I18" s="198"/>
      <c r="J18" s="198"/>
      <c r="K18" s="198"/>
      <c r="L18" s="189"/>
      <c r="M18" s="198"/>
      <c r="N18" s="198"/>
      <c r="O18" s="198"/>
      <c r="P18" s="198"/>
      <c r="Q18" s="198"/>
      <c r="R18" s="216"/>
      <c r="S18" s="216"/>
      <c r="T18" s="198"/>
    </row>
    <row r="19" spans="1:21" s="219" customFormat="1" ht="15">
      <c r="A19" s="195">
        <v>1</v>
      </c>
      <c r="B19" s="196" t="s">
        <v>330</v>
      </c>
      <c r="C19" s="216">
        <v>1994</v>
      </c>
      <c r="D19" s="216"/>
      <c r="E19" s="216" t="s">
        <v>366</v>
      </c>
      <c r="F19" s="216">
        <v>9</v>
      </c>
      <c r="G19" s="216">
        <v>4</v>
      </c>
      <c r="H19" s="216">
        <v>3</v>
      </c>
      <c r="I19" s="198">
        <v>10597.3</v>
      </c>
      <c r="J19" s="198">
        <v>7900.73</v>
      </c>
      <c r="K19" s="198">
        <v>5321.91</v>
      </c>
      <c r="L19" s="189">
        <v>397</v>
      </c>
      <c r="M19" s="198">
        <f>N19+O19+P19+Q19</f>
        <v>8256139.38</v>
      </c>
      <c r="N19" s="198">
        <f>T19*0.7</f>
        <v>5352024.3</v>
      </c>
      <c r="O19" s="198">
        <f>T19*0.3</f>
        <v>2293724.6999999997</v>
      </c>
      <c r="P19" s="198">
        <v>220390.38</v>
      </c>
      <c r="Q19" s="198">
        <v>390000</v>
      </c>
      <c r="R19" s="199">
        <v>44195</v>
      </c>
      <c r="S19" s="216" t="s">
        <v>184</v>
      </c>
      <c r="T19" s="198">
        <f>2525708.68+2600001.3+2520039.02</f>
        <v>7645749</v>
      </c>
      <c r="U19" s="241">
        <f aca="true" t="shared" si="0" ref="U19:U50">T19-N19-O19</f>
        <v>0</v>
      </c>
    </row>
    <row r="20" spans="1:21" s="219" customFormat="1" ht="15">
      <c r="A20" s="195">
        <f>A19+1</f>
        <v>2</v>
      </c>
      <c r="B20" s="196" t="s">
        <v>331</v>
      </c>
      <c r="C20" s="216">
        <v>1993</v>
      </c>
      <c r="D20" s="216"/>
      <c r="E20" s="216" t="s">
        <v>366</v>
      </c>
      <c r="F20" s="216">
        <v>9</v>
      </c>
      <c r="G20" s="216">
        <v>4</v>
      </c>
      <c r="H20" s="216">
        <v>4</v>
      </c>
      <c r="I20" s="198">
        <v>10379.1</v>
      </c>
      <c r="J20" s="198">
        <v>7810.11</v>
      </c>
      <c r="K20" s="198">
        <v>5489.7</v>
      </c>
      <c r="L20" s="189">
        <v>353</v>
      </c>
      <c r="M20" s="198">
        <f>N20+O20+P20+Q20</f>
        <v>10975184.510000002</v>
      </c>
      <c r="N20" s="198">
        <f>T20*0.7</f>
        <v>7112931.4690000005</v>
      </c>
      <c r="O20" s="198">
        <f>T20*0.3</f>
        <v>3048399.2010000004</v>
      </c>
      <c r="P20" s="198">
        <v>293853.84</v>
      </c>
      <c r="Q20" s="198">
        <v>520000</v>
      </c>
      <c r="R20" s="199">
        <v>44195</v>
      </c>
      <c r="S20" s="216" t="s">
        <v>184</v>
      </c>
      <c r="T20" s="198">
        <f>2600038.1+2503165.62+2528005.31+2530121.64</f>
        <v>10161330.670000002</v>
      </c>
      <c r="U20" s="241">
        <f t="shared" si="0"/>
        <v>0</v>
      </c>
    </row>
    <row r="21" spans="1:21" s="219" customFormat="1" ht="15">
      <c r="A21" s="195">
        <f>A20+1</f>
        <v>3</v>
      </c>
      <c r="B21" s="196" t="s">
        <v>332</v>
      </c>
      <c r="C21" s="216">
        <v>1996</v>
      </c>
      <c r="D21" s="216"/>
      <c r="E21" s="216" t="s">
        <v>367</v>
      </c>
      <c r="F21" s="216">
        <v>9</v>
      </c>
      <c r="G21" s="216">
        <v>4</v>
      </c>
      <c r="H21" s="216">
        <v>4</v>
      </c>
      <c r="I21" s="198">
        <v>10024.1</v>
      </c>
      <c r="J21" s="198">
        <v>7984.6</v>
      </c>
      <c r="K21" s="198">
        <v>5292.5</v>
      </c>
      <c r="L21" s="189">
        <v>406</v>
      </c>
      <c r="M21" s="198">
        <f>N21+O21+P21+Q21</f>
        <v>10901084.16</v>
      </c>
      <c r="N21" s="198">
        <f>T21*0.7</f>
        <v>7061061.223999999</v>
      </c>
      <c r="O21" s="198">
        <f>T21*0.3</f>
        <v>3026169.096</v>
      </c>
      <c r="P21" s="198">
        <v>293853.84</v>
      </c>
      <c r="Q21" s="198">
        <v>520000</v>
      </c>
      <c r="R21" s="199">
        <v>44195</v>
      </c>
      <c r="S21" s="216" t="s">
        <v>184</v>
      </c>
      <c r="T21" s="198">
        <f>2530178.69+2530036.39+2510102.83+2516912.41</f>
        <v>10087230.32</v>
      </c>
      <c r="U21" s="241">
        <f t="shared" si="0"/>
        <v>0</v>
      </c>
    </row>
    <row r="22" spans="1:21" s="219" customFormat="1" ht="15">
      <c r="A22" s="200" t="s">
        <v>23</v>
      </c>
      <c r="B22" s="196"/>
      <c r="C22" s="214" t="s">
        <v>261</v>
      </c>
      <c r="D22" s="216" t="s">
        <v>261</v>
      </c>
      <c r="E22" s="216" t="s">
        <v>261</v>
      </c>
      <c r="F22" s="216" t="s">
        <v>261</v>
      </c>
      <c r="G22" s="216" t="s">
        <v>261</v>
      </c>
      <c r="H22" s="216">
        <f>SUM(H19:H21)</f>
        <v>11</v>
      </c>
      <c r="I22" s="198">
        <f>SUM(I19:I21)</f>
        <v>31000.5</v>
      </c>
      <c r="J22" s="198">
        <f aca="true" t="shared" si="1" ref="J22:Q22">SUM(J19:J21)</f>
        <v>23695.440000000002</v>
      </c>
      <c r="K22" s="198">
        <f t="shared" si="1"/>
        <v>16104.11</v>
      </c>
      <c r="L22" s="179">
        <f t="shared" si="1"/>
        <v>1156</v>
      </c>
      <c r="M22" s="198">
        <f t="shared" si="1"/>
        <v>30132408.05</v>
      </c>
      <c r="N22" s="198">
        <f t="shared" si="1"/>
        <v>19526016.993</v>
      </c>
      <c r="O22" s="198">
        <f t="shared" si="1"/>
        <v>8368292.997</v>
      </c>
      <c r="P22" s="198">
        <f t="shared" si="1"/>
        <v>808098.06</v>
      </c>
      <c r="Q22" s="198">
        <f t="shared" si="1"/>
        <v>1430000</v>
      </c>
      <c r="R22" s="216" t="s">
        <v>261</v>
      </c>
      <c r="S22" s="216" t="s">
        <v>261</v>
      </c>
      <c r="T22" s="198">
        <f>SUM(T19:T21)</f>
        <v>27894309.990000002</v>
      </c>
      <c r="U22" s="241">
        <f t="shared" si="0"/>
        <v>0</v>
      </c>
    </row>
    <row r="23" spans="1:21" s="219" customFormat="1" ht="15">
      <c r="A23" s="249" t="s">
        <v>333</v>
      </c>
      <c r="B23" s="250"/>
      <c r="C23" s="207" t="s">
        <v>261</v>
      </c>
      <c r="D23" s="207" t="s">
        <v>261</v>
      </c>
      <c r="E23" s="207" t="s">
        <v>261</v>
      </c>
      <c r="F23" s="207" t="s">
        <v>261</v>
      </c>
      <c r="G23" s="207" t="s">
        <v>261</v>
      </c>
      <c r="H23" s="207">
        <v>11</v>
      </c>
      <c r="I23" s="208">
        <f>I22</f>
        <v>31000.5</v>
      </c>
      <c r="J23" s="208">
        <f aca="true" t="shared" si="2" ref="J23:Q23">J22</f>
        <v>23695.440000000002</v>
      </c>
      <c r="K23" s="208">
        <f t="shared" si="2"/>
        <v>16104.11</v>
      </c>
      <c r="L23" s="209">
        <f t="shared" si="2"/>
        <v>1156</v>
      </c>
      <c r="M23" s="208">
        <f t="shared" si="2"/>
        <v>30132408.05</v>
      </c>
      <c r="N23" s="208">
        <f t="shared" si="2"/>
        <v>19526016.993</v>
      </c>
      <c r="O23" s="208">
        <f t="shared" si="2"/>
        <v>8368292.997</v>
      </c>
      <c r="P23" s="208">
        <f t="shared" si="2"/>
        <v>808098.06</v>
      </c>
      <c r="Q23" s="208">
        <f t="shared" si="2"/>
        <v>1430000</v>
      </c>
      <c r="R23" s="207" t="s">
        <v>261</v>
      </c>
      <c r="S23" s="207" t="s">
        <v>261</v>
      </c>
      <c r="T23" s="198">
        <f>T22</f>
        <v>27894309.990000002</v>
      </c>
      <c r="U23" s="241">
        <f t="shared" si="0"/>
        <v>0</v>
      </c>
    </row>
    <row r="24" spans="1:29" s="247" customFormat="1" ht="17.25" customHeight="1">
      <c r="A24" s="398" t="s">
        <v>334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275"/>
      <c r="U24" s="241">
        <f t="shared" si="0"/>
        <v>0</v>
      </c>
      <c r="V24" s="275"/>
      <c r="W24" s="275"/>
      <c r="X24" s="275"/>
      <c r="Y24" s="275"/>
      <c r="Z24" s="275"/>
      <c r="AA24" s="275"/>
      <c r="AB24" s="275"/>
      <c r="AC24" s="276"/>
    </row>
    <row r="25" spans="1:21" s="219" customFormat="1" ht="15">
      <c r="A25" s="249" t="s">
        <v>335</v>
      </c>
      <c r="B25" s="196"/>
      <c r="C25" s="216"/>
      <c r="D25" s="216"/>
      <c r="E25" s="216"/>
      <c r="F25" s="216"/>
      <c r="G25" s="216"/>
      <c r="H25" s="216"/>
      <c r="I25" s="198"/>
      <c r="J25" s="198"/>
      <c r="K25" s="198"/>
      <c r="L25" s="189"/>
      <c r="M25" s="278"/>
      <c r="N25" s="241"/>
      <c r="O25" s="241"/>
      <c r="P25" s="198"/>
      <c r="Q25" s="198"/>
      <c r="R25" s="216"/>
      <c r="S25" s="216"/>
      <c r="U25" s="241">
        <f t="shared" si="0"/>
        <v>0</v>
      </c>
    </row>
    <row r="26" spans="1:21" s="219" customFormat="1" ht="15">
      <c r="A26" s="195">
        <f>A21+1</f>
        <v>4</v>
      </c>
      <c r="B26" s="196" t="s">
        <v>336</v>
      </c>
      <c r="C26" s="216">
        <v>1977</v>
      </c>
      <c r="D26" s="216"/>
      <c r="E26" s="216" t="s">
        <v>186</v>
      </c>
      <c r="F26" s="216">
        <v>9</v>
      </c>
      <c r="G26" s="216">
        <v>5</v>
      </c>
      <c r="H26" s="216">
        <v>1</v>
      </c>
      <c r="I26" s="198">
        <v>10900.55</v>
      </c>
      <c r="J26" s="198">
        <v>9687.25</v>
      </c>
      <c r="K26" s="198">
        <v>8891.55</v>
      </c>
      <c r="L26" s="189">
        <v>311</v>
      </c>
      <c r="M26" s="198">
        <f>N26+O26+P26+Q26</f>
        <v>2803477.58</v>
      </c>
      <c r="N26" s="198">
        <f>T26*0.7</f>
        <v>1820009.884</v>
      </c>
      <c r="O26" s="198">
        <f>T26*0.3</f>
        <v>780004.236</v>
      </c>
      <c r="P26" s="198">
        <v>73463.46</v>
      </c>
      <c r="Q26" s="198">
        <v>130000</v>
      </c>
      <c r="R26" s="199">
        <v>44195</v>
      </c>
      <c r="S26" s="216" t="s">
        <v>184</v>
      </c>
      <c r="T26" s="198">
        <v>2600014.12</v>
      </c>
      <c r="U26" s="241">
        <f t="shared" si="0"/>
        <v>0</v>
      </c>
    </row>
    <row r="27" spans="1:21" s="219" customFormat="1" ht="15">
      <c r="A27" s="195">
        <f>A26+1</f>
        <v>5</v>
      </c>
      <c r="B27" s="196" t="s">
        <v>337</v>
      </c>
      <c r="C27" s="216">
        <v>1974</v>
      </c>
      <c r="D27" s="216"/>
      <c r="E27" s="216" t="s">
        <v>186</v>
      </c>
      <c r="F27" s="216">
        <v>9</v>
      </c>
      <c r="G27" s="216">
        <v>5</v>
      </c>
      <c r="H27" s="216">
        <v>1</v>
      </c>
      <c r="I27" s="198">
        <v>14986.57</v>
      </c>
      <c r="J27" s="198">
        <v>12065.76</v>
      </c>
      <c r="K27" s="198">
        <v>11180.76</v>
      </c>
      <c r="L27" s="189">
        <v>502</v>
      </c>
      <c r="M27" s="198">
        <f>N27+O27+P27+Q27</f>
        <v>3176561.02</v>
      </c>
      <c r="N27" s="198">
        <f>T27*0.7</f>
        <v>2081168.292</v>
      </c>
      <c r="O27" s="198">
        <f>T27*0.3</f>
        <v>891929.268</v>
      </c>
      <c r="P27" s="198">
        <v>73463.46</v>
      </c>
      <c r="Q27" s="198">
        <v>130000</v>
      </c>
      <c r="R27" s="199">
        <v>44195</v>
      </c>
      <c r="S27" s="216" t="s">
        <v>184</v>
      </c>
      <c r="T27" s="198">
        <v>2973097.56</v>
      </c>
      <c r="U27" s="241">
        <f t="shared" si="0"/>
        <v>0</v>
      </c>
    </row>
    <row r="28" spans="1:21" s="219" customFormat="1" ht="15">
      <c r="A28" s="200" t="s">
        <v>23</v>
      </c>
      <c r="B28" s="196"/>
      <c r="C28" s="214" t="s">
        <v>261</v>
      </c>
      <c r="D28" s="216" t="s">
        <v>261</v>
      </c>
      <c r="E28" s="216" t="s">
        <v>261</v>
      </c>
      <c r="F28" s="216" t="s">
        <v>261</v>
      </c>
      <c r="G28" s="216" t="s">
        <v>261</v>
      </c>
      <c r="H28" s="216">
        <f>SUM(H26:H27)</f>
        <v>2</v>
      </c>
      <c r="I28" s="198">
        <f>SUM(I26:I27)</f>
        <v>25887.12</v>
      </c>
      <c r="J28" s="198">
        <f aca="true" t="shared" si="3" ref="J28:Q28">SUM(J26:J27)</f>
        <v>21753.010000000002</v>
      </c>
      <c r="K28" s="198">
        <f t="shared" si="3"/>
        <v>20072.309999999998</v>
      </c>
      <c r="L28" s="179">
        <f t="shared" si="3"/>
        <v>813</v>
      </c>
      <c r="M28" s="198">
        <f t="shared" si="3"/>
        <v>5980038.6</v>
      </c>
      <c r="N28" s="198">
        <f t="shared" si="3"/>
        <v>3901178.176</v>
      </c>
      <c r="O28" s="198">
        <f t="shared" si="3"/>
        <v>1671933.5040000002</v>
      </c>
      <c r="P28" s="198">
        <f t="shared" si="3"/>
        <v>146926.92</v>
      </c>
      <c r="Q28" s="198">
        <f t="shared" si="3"/>
        <v>260000</v>
      </c>
      <c r="R28" s="216" t="s">
        <v>261</v>
      </c>
      <c r="S28" s="216" t="s">
        <v>261</v>
      </c>
      <c r="T28" s="198">
        <f>SUM(T26:T27)</f>
        <v>5573111.68</v>
      </c>
      <c r="U28" s="241">
        <f t="shared" si="0"/>
        <v>0</v>
      </c>
    </row>
    <row r="29" spans="1:21" s="219" customFormat="1" ht="15">
      <c r="A29" s="249" t="s">
        <v>338</v>
      </c>
      <c r="B29" s="250"/>
      <c r="C29" s="207" t="s">
        <v>261</v>
      </c>
      <c r="D29" s="207" t="s">
        <v>261</v>
      </c>
      <c r="E29" s="207" t="s">
        <v>261</v>
      </c>
      <c r="F29" s="207" t="s">
        <v>261</v>
      </c>
      <c r="G29" s="207" t="s">
        <v>261</v>
      </c>
      <c r="H29" s="207">
        <f>SUM(H28)</f>
        <v>2</v>
      </c>
      <c r="I29" s="208">
        <f>I28</f>
        <v>25887.12</v>
      </c>
      <c r="J29" s="208">
        <f aca="true" t="shared" si="4" ref="J29:Q29">J28</f>
        <v>21753.010000000002</v>
      </c>
      <c r="K29" s="208">
        <f t="shared" si="4"/>
        <v>20072.309999999998</v>
      </c>
      <c r="L29" s="209">
        <f t="shared" si="4"/>
        <v>813</v>
      </c>
      <c r="M29" s="208">
        <f t="shared" si="4"/>
        <v>5980038.6</v>
      </c>
      <c r="N29" s="208">
        <f t="shared" si="4"/>
        <v>3901178.176</v>
      </c>
      <c r="O29" s="208">
        <f t="shared" si="4"/>
        <v>1671933.5040000002</v>
      </c>
      <c r="P29" s="208">
        <f t="shared" si="4"/>
        <v>146926.92</v>
      </c>
      <c r="Q29" s="208">
        <f t="shared" si="4"/>
        <v>260000</v>
      </c>
      <c r="R29" s="207" t="s">
        <v>261</v>
      </c>
      <c r="S29" s="207" t="s">
        <v>261</v>
      </c>
      <c r="T29" s="198">
        <f>T28</f>
        <v>5573111.68</v>
      </c>
      <c r="U29" s="241">
        <f t="shared" si="0"/>
        <v>0</v>
      </c>
    </row>
    <row r="30" spans="1:21" s="219" customFormat="1" ht="15" customHeight="1">
      <c r="A30" s="367" t="s">
        <v>24</v>
      </c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9"/>
      <c r="U30" s="241">
        <f t="shared" si="0"/>
        <v>0</v>
      </c>
    </row>
    <row r="31" spans="1:21" s="219" customFormat="1" ht="15">
      <c r="A31" s="249" t="s">
        <v>339</v>
      </c>
      <c r="B31" s="250"/>
      <c r="C31" s="206"/>
      <c r="D31" s="206"/>
      <c r="E31" s="206"/>
      <c r="F31" s="206"/>
      <c r="G31" s="206"/>
      <c r="H31" s="206"/>
      <c r="I31" s="222"/>
      <c r="J31" s="222"/>
      <c r="K31" s="222"/>
      <c r="L31" s="251"/>
      <c r="M31" s="252"/>
      <c r="N31" s="241"/>
      <c r="O31" s="241"/>
      <c r="P31" s="222"/>
      <c r="Q31" s="222"/>
      <c r="R31" s="206"/>
      <c r="S31" s="206"/>
      <c r="U31" s="241">
        <f t="shared" si="0"/>
        <v>0</v>
      </c>
    </row>
    <row r="32" spans="1:21" s="219" customFormat="1" ht="15">
      <c r="A32" s="195">
        <f>A27+1</f>
        <v>6</v>
      </c>
      <c r="B32" s="196" t="s">
        <v>340</v>
      </c>
      <c r="C32" s="214">
        <v>1988</v>
      </c>
      <c r="D32" s="214"/>
      <c r="E32" s="214" t="s">
        <v>367</v>
      </c>
      <c r="F32" s="214">
        <v>9</v>
      </c>
      <c r="G32" s="214">
        <v>9</v>
      </c>
      <c r="H32" s="214">
        <v>9</v>
      </c>
      <c r="I32" s="201">
        <v>19929.21</v>
      </c>
      <c r="J32" s="201">
        <v>17899.31</v>
      </c>
      <c r="K32" s="201">
        <v>1143.7</v>
      </c>
      <c r="L32" s="238">
        <v>984</v>
      </c>
      <c r="M32" s="198">
        <f>N32+O32+P32+Q32</f>
        <v>24840972.380000003</v>
      </c>
      <c r="N32" s="198">
        <f>T32*0.7</f>
        <v>16106860.868</v>
      </c>
      <c r="O32" s="198">
        <f>T32*0.3</f>
        <v>6902940.372</v>
      </c>
      <c r="P32" s="201">
        <v>661171.14</v>
      </c>
      <c r="Q32" s="201">
        <v>1170000</v>
      </c>
      <c r="R32" s="199">
        <v>44195</v>
      </c>
      <c r="S32" s="216" t="s">
        <v>184</v>
      </c>
      <c r="T32" s="201">
        <f>'[1]субсидия'!$C$15+'[1]субсидия'!$C$16+'[1]субсидия'!$C$17+'[1]субсидия'!$C$18+'[1]субсидия'!$C$19+'[1]субсидия'!$C$20+'[1]субсидия'!$C$21+'[1]субсидия'!$C$22+'[1]субсидия'!$C$23</f>
        <v>23009801.240000002</v>
      </c>
      <c r="U32" s="241">
        <f t="shared" si="0"/>
        <v>0</v>
      </c>
    </row>
    <row r="33" spans="1:21" s="219" customFormat="1" ht="15">
      <c r="A33" s="195">
        <f>A32+1</f>
        <v>7</v>
      </c>
      <c r="B33" s="196" t="s">
        <v>341</v>
      </c>
      <c r="C33" s="214">
        <v>1975</v>
      </c>
      <c r="D33" s="214"/>
      <c r="E33" s="214" t="s">
        <v>367</v>
      </c>
      <c r="F33" s="214">
        <v>9</v>
      </c>
      <c r="G33" s="214">
        <v>5</v>
      </c>
      <c r="H33" s="214">
        <v>5</v>
      </c>
      <c r="I33" s="201">
        <v>11006.5</v>
      </c>
      <c r="J33" s="201">
        <v>9795.56</v>
      </c>
      <c r="K33" s="201">
        <v>611.3</v>
      </c>
      <c r="L33" s="238">
        <v>503</v>
      </c>
      <c r="M33" s="198">
        <f aca="true" t="shared" si="5" ref="M33:M49">N33+O33+P33+Q33</f>
        <v>13715202.73</v>
      </c>
      <c r="N33" s="198">
        <f aca="true" t="shared" si="6" ref="N33:N49">T33*0.7</f>
        <v>8888519.800999999</v>
      </c>
      <c r="O33" s="198">
        <f aca="true" t="shared" si="7" ref="O33:O49">T33*0.3</f>
        <v>3809365.6289999997</v>
      </c>
      <c r="P33" s="201">
        <v>367317.3</v>
      </c>
      <c r="Q33" s="201">
        <v>650000</v>
      </c>
      <c r="R33" s="199">
        <v>44195</v>
      </c>
      <c r="S33" s="216" t="s">
        <v>184</v>
      </c>
      <c r="T33" s="201">
        <f>'[1]субсидия'!$C$28+'[1]субсидия'!$C$27+'[1]субсидия'!$C$26+'[1]субсидия'!$C$25+'[1]субсидия'!$C$24</f>
        <v>12697885.43</v>
      </c>
      <c r="U33" s="241">
        <f t="shared" si="0"/>
        <v>0</v>
      </c>
    </row>
    <row r="34" spans="1:21" s="219" customFormat="1" ht="15">
      <c r="A34" s="195">
        <f>A33+1</f>
        <v>8</v>
      </c>
      <c r="B34" s="196" t="s">
        <v>342</v>
      </c>
      <c r="C34" s="214">
        <v>1981</v>
      </c>
      <c r="D34" s="214"/>
      <c r="E34" s="214" t="s">
        <v>185</v>
      </c>
      <c r="F34" s="214">
        <v>14</v>
      </c>
      <c r="G34" s="214">
        <v>1</v>
      </c>
      <c r="H34" s="214">
        <v>1</v>
      </c>
      <c r="I34" s="201">
        <v>5257.2</v>
      </c>
      <c r="J34" s="201">
        <v>4579.2</v>
      </c>
      <c r="K34" s="201">
        <v>236.1</v>
      </c>
      <c r="L34" s="238">
        <v>211</v>
      </c>
      <c r="M34" s="198">
        <f t="shared" si="5"/>
        <v>3203810.1</v>
      </c>
      <c r="N34" s="198">
        <f t="shared" si="6"/>
        <v>2100242.648</v>
      </c>
      <c r="O34" s="198">
        <f t="shared" si="7"/>
        <v>900103.992</v>
      </c>
      <c r="P34" s="201">
        <v>73463.46</v>
      </c>
      <c r="Q34" s="201">
        <v>130000</v>
      </c>
      <c r="R34" s="199">
        <v>44195</v>
      </c>
      <c r="S34" s="216" t="s">
        <v>184</v>
      </c>
      <c r="T34" s="201">
        <f>'[1]субсидия'!$C$29</f>
        <v>3000346.64</v>
      </c>
      <c r="U34" s="241">
        <f t="shared" si="0"/>
        <v>0</v>
      </c>
    </row>
    <row r="35" spans="1:21" s="219" customFormat="1" ht="15">
      <c r="A35" s="195">
        <f aca="true" t="shared" si="8" ref="A35:A46">A34+1</f>
        <v>9</v>
      </c>
      <c r="B35" s="196" t="s">
        <v>343</v>
      </c>
      <c r="C35" s="214">
        <v>1978</v>
      </c>
      <c r="D35" s="214"/>
      <c r="E35" s="214" t="s">
        <v>185</v>
      </c>
      <c r="F35" s="214">
        <v>14</v>
      </c>
      <c r="G35" s="214">
        <v>1</v>
      </c>
      <c r="H35" s="214">
        <v>1</v>
      </c>
      <c r="I35" s="201">
        <v>5319</v>
      </c>
      <c r="J35" s="201">
        <v>4568.2</v>
      </c>
      <c r="K35" s="201">
        <v>0</v>
      </c>
      <c r="L35" s="238">
        <v>183</v>
      </c>
      <c r="M35" s="198">
        <f t="shared" si="5"/>
        <v>3152753.51</v>
      </c>
      <c r="N35" s="198">
        <f t="shared" si="6"/>
        <v>2064503.0349999997</v>
      </c>
      <c r="O35" s="198">
        <f t="shared" si="7"/>
        <v>884787.0149999999</v>
      </c>
      <c r="P35" s="201">
        <v>73463.46</v>
      </c>
      <c r="Q35" s="201">
        <v>130000</v>
      </c>
      <c r="R35" s="199">
        <v>44195</v>
      </c>
      <c r="S35" s="216" t="s">
        <v>184</v>
      </c>
      <c r="T35" s="201">
        <v>2949290.05</v>
      </c>
      <c r="U35" s="241">
        <f t="shared" si="0"/>
        <v>0</v>
      </c>
    </row>
    <row r="36" spans="1:21" s="219" customFormat="1" ht="15">
      <c r="A36" s="195">
        <f t="shared" si="8"/>
        <v>10</v>
      </c>
      <c r="B36" s="196" t="s">
        <v>344</v>
      </c>
      <c r="C36" s="214">
        <v>1991</v>
      </c>
      <c r="D36" s="214"/>
      <c r="E36" s="214" t="s">
        <v>367</v>
      </c>
      <c r="F36" s="214">
        <v>9</v>
      </c>
      <c r="G36" s="214">
        <v>3</v>
      </c>
      <c r="H36" s="214">
        <v>3</v>
      </c>
      <c r="I36" s="201">
        <v>7012.15</v>
      </c>
      <c r="J36" s="201">
        <v>6140.05</v>
      </c>
      <c r="K36" s="201">
        <v>195.9</v>
      </c>
      <c r="L36" s="238">
        <v>269</v>
      </c>
      <c r="M36" s="198">
        <f t="shared" si="5"/>
        <v>8338920.299999999</v>
      </c>
      <c r="N36" s="198">
        <f t="shared" si="6"/>
        <v>5409970.943999999</v>
      </c>
      <c r="O36" s="198">
        <f t="shared" si="7"/>
        <v>2318558.976</v>
      </c>
      <c r="P36" s="201">
        <v>220390.38</v>
      </c>
      <c r="Q36" s="201">
        <v>390000</v>
      </c>
      <c r="R36" s="199">
        <v>44195</v>
      </c>
      <c r="S36" s="216" t="s">
        <v>184</v>
      </c>
      <c r="T36" s="201">
        <f>'[1]субсидия'!$C$173+'[1]субсидия'!$C$174+'[1]субсидия'!$C$175</f>
        <v>7728529.92</v>
      </c>
      <c r="U36" s="241">
        <f t="shared" si="0"/>
        <v>0</v>
      </c>
    </row>
    <row r="37" spans="1:21" s="219" customFormat="1" ht="15">
      <c r="A37" s="195">
        <f t="shared" si="8"/>
        <v>11</v>
      </c>
      <c r="B37" s="196" t="s">
        <v>345</v>
      </c>
      <c r="C37" s="214">
        <v>1991</v>
      </c>
      <c r="D37" s="214"/>
      <c r="E37" s="214" t="s">
        <v>367</v>
      </c>
      <c r="F37" s="214">
        <v>9</v>
      </c>
      <c r="G37" s="214">
        <v>2</v>
      </c>
      <c r="H37" s="214">
        <v>2</v>
      </c>
      <c r="I37" s="201">
        <v>4879.9</v>
      </c>
      <c r="J37" s="201">
        <v>4049.4</v>
      </c>
      <c r="K37" s="201">
        <v>281.1</v>
      </c>
      <c r="L37" s="238">
        <v>145</v>
      </c>
      <c r="M37" s="198">
        <f t="shared" si="5"/>
        <v>5503590.84</v>
      </c>
      <c r="N37" s="198">
        <f t="shared" si="6"/>
        <v>3567664.744</v>
      </c>
      <c r="O37" s="198">
        <f t="shared" si="7"/>
        <v>1528999.176</v>
      </c>
      <c r="P37" s="201">
        <v>146926.92</v>
      </c>
      <c r="Q37" s="201">
        <v>260000</v>
      </c>
      <c r="R37" s="199">
        <v>44195</v>
      </c>
      <c r="S37" s="216" t="s">
        <v>184</v>
      </c>
      <c r="T37" s="201">
        <f>'[1]субсидия'!$C$176+'[1]субсидия'!$C$177</f>
        <v>5096663.92</v>
      </c>
      <c r="U37" s="241">
        <f t="shared" si="0"/>
        <v>0</v>
      </c>
    </row>
    <row r="38" spans="1:21" s="219" customFormat="1" ht="15">
      <c r="A38" s="195">
        <f t="shared" si="8"/>
        <v>12</v>
      </c>
      <c r="B38" s="196" t="s">
        <v>346</v>
      </c>
      <c r="C38" s="214">
        <v>1993</v>
      </c>
      <c r="D38" s="214"/>
      <c r="E38" s="214" t="s">
        <v>367</v>
      </c>
      <c r="F38" s="214">
        <v>9</v>
      </c>
      <c r="G38" s="214">
        <v>2</v>
      </c>
      <c r="H38" s="214">
        <v>2</v>
      </c>
      <c r="I38" s="201">
        <v>4868.1</v>
      </c>
      <c r="J38" s="201">
        <v>4083.7</v>
      </c>
      <c r="K38" s="201">
        <v>128</v>
      </c>
      <c r="L38" s="238">
        <v>181</v>
      </c>
      <c r="M38" s="198">
        <f t="shared" si="5"/>
        <v>5387171.479999999</v>
      </c>
      <c r="N38" s="198">
        <f t="shared" si="6"/>
        <v>3486171.1919999993</v>
      </c>
      <c r="O38" s="198">
        <f t="shared" si="7"/>
        <v>1494073.3679999998</v>
      </c>
      <c r="P38" s="201">
        <v>146926.92</v>
      </c>
      <c r="Q38" s="201">
        <v>260000</v>
      </c>
      <c r="R38" s="199">
        <v>44195</v>
      </c>
      <c r="S38" s="216" t="s">
        <v>184</v>
      </c>
      <c r="T38" s="201">
        <f>'[1]субсидия'!$C$178+'[1]субсидия'!$C$179</f>
        <v>4980244.56</v>
      </c>
      <c r="U38" s="241">
        <f t="shared" si="0"/>
        <v>0</v>
      </c>
    </row>
    <row r="39" spans="1:21" s="219" customFormat="1" ht="15">
      <c r="A39" s="195">
        <f t="shared" si="8"/>
        <v>13</v>
      </c>
      <c r="B39" s="196" t="s">
        <v>347</v>
      </c>
      <c r="C39" s="214">
        <v>1977</v>
      </c>
      <c r="D39" s="214"/>
      <c r="E39" s="214" t="s">
        <v>367</v>
      </c>
      <c r="F39" s="214">
        <v>9</v>
      </c>
      <c r="G39" s="214">
        <v>5</v>
      </c>
      <c r="H39" s="214">
        <v>5</v>
      </c>
      <c r="I39" s="201">
        <v>11002.3</v>
      </c>
      <c r="J39" s="201">
        <v>9791.8</v>
      </c>
      <c r="K39" s="201">
        <v>648.1</v>
      </c>
      <c r="L39" s="238">
        <v>50</v>
      </c>
      <c r="M39" s="198">
        <f t="shared" si="5"/>
        <v>13941407.989999998</v>
      </c>
      <c r="N39" s="198">
        <f t="shared" si="6"/>
        <v>9046863.483</v>
      </c>
      <c r="O39" s="198">
        <f t="shared" si="7"/>
        <v>3877227.2069999995</v>
      </c>
      <c r="P39" s="201">
        <v>367317.3</v>
      </c>
      <c r="Q39" s="201">
        <v>650000</v>
      </c>
      <c r="R39" s="199">
        <v>44195</v>
      </c>
      <c r="S39" s="216" t="s">
        <v>184</v>
      </c>
      <c r="T39" s="201">
        <f>'[1]субсидия'!$C$180+'[1]субсидия'!$C$181+'[1]субсидия'!$C$182+'[1]субсидия'!$C$183+'[1]субсидия'!$C$184</f>
        <v>12924090.69</v>
      </c>
      <c r="U39" s="241">
        <f t="shared" si="0"/>
        <v>0</v>
      </c>
    </row>
    <row r="40" spans="1:21" s="219" customFormat="1" ht="15">
      <c r="A40" s="195">
        <f t="shared" si="8"/>
        <v>14</v>
      </c>
      <c r="B40" s="196" t="s">
        <v>348</v>
      </c>
      <c r="C40" s="214">
        <v>1990</v>
      </c>
      <c r="D40" s="214"/>
      <c r="E40" s="214" t="s">
        <v>367</v>
      </c>
      <c r="F40" s="214">
        <v>9</v>
      </c>
      <c r="G40" s="214">
        <v>9</v>
      </c>
      <c r="H40" s="214">
        <v>8</v>
      </c>
      <c r="I40" s="201">
        <v>17300.6</v>
      </c>
      <c r="J40" s="201">
        <v>15583.3</v>
      </c>
      <c r="K40" s="201">
        <v>746.4</v>
      </c>
      <c r="L40" s="238">
        <v>839</v>
      </c>
      <c r="M40" s="198">
        <f t="shared" si="5"/>
        <v>22324649.5</v>
      </c>
      <c r="N40" s="198">
        <f t="shared" si="6"/>
        <v>14487859.274</v>
      </c>
      <c r="O40" s="198">
        <f t="shared" si="7"/>
        <v>6209082.546</v>
      </c>
      <c r="P40" s="201">
        <v>587707.68</v>
      </c>
      <c r="Q40" s="201">
        <v>1040000</v>
      </c>
      <c r="R40" s="199">
        <v>44195</v>
      </c>
      <c r="S40" s="216" t="s">
        <v>184</v>
      </c>
      <c r="T40" s="201">
        <f>'[1]субсидия'!$C$187+'[1]субсидия'!$C$188+'[1]субсидия'!$C$189+'[1]субсидия'!$C$190+'[1]субсидия'!$C$191+'[1]субсидия'!$C$192+'[1]субсидия'!$C$193+'[1]субсидия'!$C$194</f>
        <v>20696941.82</v>
      </c>
      <c r="U40" s="241">
        <f t="shared" si="0"/>
        <v>0</v>
      </c>
    </row>
    <row r="41" spans="1:21" s="219" customFormat="1" ht="15">
      <c r="A41" s="195">
        <f t="shared" si="8"/>
        <v>15</v>
      </c>
      <c r="B41" s="196" t="s">
        <v>349</v>
      </c>
      <c r="C41" s="214">
        <v>1992</v>
      </c>
      <c r="D41" s="214"/>
      <c r="E41" s="214" t="s">
        <v>367</v>
      </c>
      <c r="F41" s="214">
        <v>9</v>
      </c>
      <c r="G41" s="214">
        <v>3</v>
      </c>
      <c r="H41" s="214">
        <v>3</v>
      </c>
      <c r="I41" s="201">
        <v>7036.7</v>
      </c>
      <c r="J41" s="201">
        <v>6164.6</v>
      </c>
      <c r="K41" s="201">
        <v>104.5</v>
      </c>
      <c r="L41" s="238">
        <v>247</v>
      </c>
      <c r="M41" s="198">
        <f t="shared" si="5"/>
        <v>8407970.71</v>
      </c>
      <c r="N41" s="198">
        <f t="shared" si="6"/>
        <v>5458306.231</v>
      </c>
      <c r="O41" s="198">
        <f t="shared" si="7"/>
        <v>2339274.099</v>
      </c>
      <c r="P41" s="201">
        <v>220390.38</v>
      </c>
      <c r="Q41" s="201">
        <v>390000</v>
      </c>
      <c r="R41" s="199">
        <v>44195</v>
      </c>
      <c r="S41" s="216" t="s">
        <v>184</v>
      </c>
      <c r="T41" s="201">
        <f>'[1]субсидия'!$C$196+'[1]субсидия'!$C$197+'[1]субсидия'!$C$198</f>
        <v>7797580.33</v>
      </c>
      <c r="U41" s="241">
        <f t="shared" si="0"/>
        <v>0</v>
      </c>
    </row>
    <row r="42" spans="1:21" s="219" customFormat="1" ht="15">
      <c r="A42" s="195">
        <f t="shared" si="8"/>
        <v>16</v>
      </c>
      <c r="B42" s="196" t="s">
        <v>350</v>
      </c>
      <c r="C42" s="214">
        <v>1991</v>
      </c>
      <c r="D42" s="214"/>
      <c r="E42" s="214" t="s">
        <v>367</v>
      </c>
      <c r="F42" s="214">
        <v>9</v>
      </c>
      <c r="G42" s="214">
        <v>3</v>
      </c>
      <c r="H42" s="214">
        <v>3</v>
      </c>
      <c r="I42" s="201">
        <v>7034.56</v>
      </c>
      <c r="J42" s="201">
        <v>6162.46</v>
      </c>
      <c r="K42" s="201">
        <v>142.7</v>
      </c>
      <c r="L42" s="238">
        <v>267</v>
      </c>
      <c r="M42" s="198">
        <f t="shared" si="5"/>
        <v>8407970.71</v>
      </c>
      <c r="N42" s="198">
        <f t="shared" si="6"/>
        <v>5458306.231</v>
      </c>
      <c r="O42" s="198">
        <f t="shared" si="7"/>
        <v>2339274.099</v>
      </c>
      <c r="P42" s="201">
        <v>220390.38</v>
      </c>
      <c r="Q42" s="201">
        <v>390000</v>
      </c>
      <c r="R42" s="199">
        <v>44195</v>
      </c>
      <c r="S42" s="216" t="s">
        <v>184</v>
      </c>
      <c r="T42" s="201">
        <f>'[1]субсидия'!$C$199+'[1]субсидия'!$C$200+'[1]субсидия'!$C$201</f>
        <v>7797580.33</v>
      </c>
      <c r="U42" s="241">
        <f t="shared" si="0"/>
        <v>0</v>
      </c>
    </row>
    <row r="43" spans="1:21" s="219" customFormat="1" ht="15">
      <c r="A43" s="195">
        <f t="shared" si="8"/>
        <v>17</v>
      </c>
      <c r="B43" s="196" t="s">
        <v>351</v>
      </c>
      <c r="C43" s="214">
        <v>1995</v>
      </c>
      <c r="D43" s="214"/>
      <c r="E43" s="214" t="s">
        <v>367</v>
      </c>
      <c r="F43" s="214">
        <v>9</v>
      </c>
      <c r="G43" s="214">
        <v>2</v>
      </c>
      <c r="H43" s="214">
        <v>2</v>
      </c>
      <c r="I43" s="201">
        <v>5407.3</v>
      </c>
      <c r="J43" s="201">
        <v>4635.3</v>
      </c>
      <c r="K43" s="201">
        <v>0</v>
      </c>
      <c r="L43" s="238">
        <v>226</v>
      </c>
      <c r="M43" s="198">
        <f t="shared" si="5"/>
        <v>5503590.84</v>
      </c>
      <c r="N43" s="198">
        <f t="shared" si="6"/>
        <v>3567664.744</v>
      </c>
      <c r="O43" s="198">
        <f t="shared" si="7"/>
        <v>1528999.176</v>
      </c>
      <c r="P43" s="201">
        <v>146926.92</v>
      </c>
      <c r="Q43" s="201">
        <v>260000</v>
      </c>
      <c r="R43" s="199">
        <v>44195</v>
      </c>
      <c r="S43" s="216" t="s">
        <v>184</v>
      </c>
      <c r="T43" s="201">
        <f>'[1]субсидия'!$C$185+'[1]субсидия'!$C$186</f>
        <v>5096663.92</v>
      </c>
      <c r="U43" s="241">
        <f t="shared" si="0"/>
        <v>0</v>
      </c>
    </row>
    <row r="44" spans="1:21" s="219" customFormat="1" ht="15">
      <c r="A44" s="195">
        <f t="shared" si="8"/>
        <v>18</v>
      </c>
      <c r="B44" s="196" t="s">
        <v>352</v>
      </c>
      <c r="C44" s="214">
        <v>1995</v>
      </c>
      <c r="D44" s="214"/>
      <c r="E44" s="214" t="s">
        <v>368</v>
      </c>
      <c r="F44" s="214">
        <v>7</v>
      </c>
      <c r="G44" s="214">
        <v>1</v>
      </c>
      <c r="H44" s="214">
        <v>1</v>
      </c>
      <c r="I44" s="201">
        <v>2045.4</v>
      </c>
      <c r="J44" s="201">
        <v>1585</v>
      </c>
      <c r="K44" s="201">
        <v>128</v>
      </c>
      <c r="L44" s="238">
        <v>72</v>
      </c>
      <c r="M44" s="198">
        <f t="shared" si="5"/>
        <v>2663512.52</v>
      </c>
      <c r="N44" s="198">
        <f t="shared" si="6"/>
        <v>1722034.342</v>
      </c>
      <c r="O44" s="198">
        <f t="shared" si="7"/>
        <v>738014.718</v>
      </c>
      <c r="P44" s="201">
        <v>73463.46</v>
      </c>
      <c r="Q44" s="201">
        <v>130000</v>
      </c>
      <c r="R44" s="199">
        <v>44195</v>
      </c>
      <c r="S44" s="216" t="s">
        <v>184</v>
      </c>
      <c r="T44" s="201">
        <f>'[1]субсидия'!$C$195</f>
        <v>2460049.06</v>
      </c>
      <c r="U44" s="241">
        <f t="shared" si="0"/>
        <v>0</v>
      </c>
    </row>
    <row r="45" spans="1:21" s="219" customFormat="1" ht="15">
      <c r="A45" s="195">
        <f t="shared" si="8"/>
        <v>19</v>
      </c>
      <c r="B45" s="196" t="s">
        <v>353</v>
      </c>
      <c r="C45" s="214">
        <v>1995</v>
      </c>
      <c r="D45" s="214"/>
      <c r="E45" s="214" t="s">
        <v>368</v>
      </c>
      <c r="F45" s="214">
        <v>7</v>
      </c>
      <c r="G45" s="214">
        <v>1</v>
      </c>
      <c r="H45" s="214">
        <v>1</v>
      </c>
      <c r="I45" s="201">
        <v>2058.4</v>
      </c>
      <c r="J45" s="201">
        <v>1598</v>
      </c>
      <c r="K45" s="201">
        <v>39.3</v>
      </c>
      <c r="L45" s="238">
        <v>66</v>
      </c>
      <c r="M45" s="198">
        <f t="shared" si="5"/>
        <v>2658011.19</v>
      </c>
      <c r="N45" s="198">
        <f t="shared" si="6"/>
        <v>1718183.4109999998</v>
      </c>
      <c r="O45" s="198">
        <f t="shared" si="7"/>
        <v>736364.319</v>
      </c>
      <c r="P45" s="201">
        <v>73463.46</v>
      </c>
      <c r="Q45" s="201">
        <v>130000</v>
      </c>
      <c r="R45" s="199">
        <v>44195</v>
      </c>
      <c r="S45" s="216" t="s">
        <v>184</v>
      </c>
      <c r="T45" s="201">
        <v>2454547.73</v>
      </c>
      <c r="U45" s="241">
        <f t="shared" si="0"/>
        <v>0</v>
      </c>
    </row>
    <row r="46" spans="1:21" s="219" customFormat="1" ht="15">
      <c r="A46" s="195">
        <f t="shared" si="8"/>
        <v>20</v>
      </c>
      <c r="B46" s="196" t="s">
        <v>354</v>
      </c>
      <c r="C46" s="214">
        <v>1995</v>
      </c>
      <c r="D46" s="214"/>
      <c r="E46" s="214" t="s">
        <v>368</v>
      </c>
      <c r="F46" s="214">
        <v>7</v>
      </c>
      <c r="G46" s="214">
        <v>1</v>
      </c>
      <c r="H46" s="214">
        <v>1</v>
      </c>
      <c r="I46" s="201">
        <v>2038.6</v>
      </c>
      <c r="J46" s="201">
        <v>1578</v>
      </c>
      <c r="K46" s="201">
        <v>0</v>
      </c>
      <c r="L46" s="238">
        <v>55</v>
      </c>
      <c r="M46" s="198">
        <f t="shared" si="5"/>
        <v>2658011.19</v>
      </c>
      <c r="N46" s="198">
        <f t="shared" si="6"/>
        <v>1718183.4109999998</v>
      </c>
      <c r="O46" s="198">
        <f t="shared" si="7"/>
        <v>736364.319</v>
      </c>
      <c r="P46" s="201">
        <v>73463.46</v>
      </c>
      <c r="Q46" s="201">
        <v>130000</v>
      </c>
      <c r="R46" s="199">
        <v>44195</v>
      </c>
      <c r="S46" s="216" t="s">
        <v>184</v>
      </c>
      <c r="T46" s="201">
        <v>2454547.73</v>
      </c>
      <c r="U46" s="241">
        <f t="shared" si="0"/>
        <v>0</v>
      </c>
    </row>
    <row r="47" spans="1:21" s="219" customFormat="1" ht="15">
      <c r="A47" s="195">
        <f>A46+1</f>
        <v>21</v>
      </c>
      <c r="B47" s="196" t="s">
        <v>355</v>
      </c>
      <c r="C47" s="214">
        <v>1995</v>
      </c>
      <c r="D47" s="214"/>
      <c r="E47" s="214" t="s">
        <v>368</v>
      </c>
      <c r="F47" s="214">
        <v>7</v>
      </c>
      <c r="G47" s="214">
        <v>1</v>
      </c>
      <c r="H47" s="214">
        <v>1</v>
      </c>
      <c r="I47" s="201">
        <v>2039.6</v>
      </c>
      <c r="J47" s="201">
        <v>1579</v>
      </c>
      <c r="K47" s="201">
        <v>39.3</v>
      </c>
      <c r="L47" s="238">
        <v>80</v>
      </c>
      <c r="M47" s="198">
        <f t="shared" si="5"/>
        <v>2658011.19</v>
      </c>
      <c r="N47" s="198">
        <f t="shared" si="6"/>
        <v>1718183.4109999998</v>
      </c>
      <c r="O47" s="198">
        <f t="shared" si="7"/>
        <v>736364.319</v>
      </c>
      <c r="P47" s="201">
        <v>73463.46</v>
      </c>
      <c r="Q47" s="201">
        <v>130000</v>
      </c>
      <c r="R47" s="199">
        <v>44195</v>
      </c>
      <c r="S47" s="216" t="s">
        <v>184</v>
      </c>
      <c r="T47" s="201">
        <v>2454547.73</v>
      </c>
      <c r="U47" s="241">
        <f t="shared" si="0"/>
        <v>0</v>
      </c>
    </row>
    <row r="48" spans="1:21" s="219" customFormat="1" ht="15">
      <c r="A48" s="195">
        <f>A47+1</f>
        <v>22</v>
      </c>
      <c r="B48" s="196" t="s">
        <v>356</v>
      </c>
      <c r="C48" s="214">
        <v>1995</v>
      </c>
      <c r="D48" s="214"/>
      <c r="E48" s="214" t="s">
        <v>368</v>
      </c>
      <c r="F48" s="214">
        <v>7</v>
      </c>
      <c r="G48" s="214">
        <v>1</v>
      </c>
      <c r="H48" s="214">
        <v>1</v>
      </c>
      <c r="I48" s="201">
        <v>2036.5</v>
      </c>
      <c r="J48" s="201">
        <v>1576</v>
      </c>
      <c r="K48" s="201">
        <v>56.7</v>
      </c>
      <c r="L48" s="238">
        <v>60</v>
      </c>
      <c r="M48" s="198">
        <f t="shared" si="5"/>
        <v>2658011.19</v>
      </c>
      <c r="N48" s="198">
        <f>T48*0.7</f>
        <v>1718183.4109999998</v>
      </c>
      <c r="O48" s="198">
        <f t="shared" si="7"/>
        <v>736364.319</v>
      </c>
      <c r="P48" s="201">
        <v>73463.46</v>
      </c>
      <c r="Q48" s="201">
        <v>130000</v>
      </c>
      <c r="R48" s="199">
        <v>44195</v>
      </c>
      <c r="S48" s="216" t="s">
        <v>184</v>
      </c>
      <c r="T48" s="201">
        <v>2454547.73</v>
      </c>
      <c r="U48" s="241">
        <f t="shared" si="0"/>
        <v>0</v>
      </c>
    </row>
    <row r="49" spans="1:21" s="219" customFormat="1" ht="15">
      <c r="A49" s="195">
        <f>A48+1</f>
        <v>23</v>
      </c>
      <c r="B49" s="196" t="s">
        <v>357</v>
      </c>
      <c r="C49" s="214">
        <v>1995</v>
      </c>
      <c r="D49" s="214"/>
      <c r="E49" s="214" t="s">
        <v>368</v>
      </c>
      <c r="F49" s="214">
        <v>7</v>
      </c>
      <c r="G49" s="214">
        <v>1</v>
      </c>
      <c r="H49" s="214">
        <v>1</v>
      </c>
      <c r="I49" s="201">
        <v>2032.5</v>
      </c>
      <c r="J49" s="201">
        <v>1572</v>
      </c>
      <c r="K49" s="201">
        <v>55.9</v>
      </c>
      <c r="L49" s="238">
        <v>74</v>
      </c>
      <c r="M49" s="198">
        <f t="shared" si="5"/>
        <v>2658011.19</v>
      </c>
      <c r="N49" s="198">
        <f t="shared" si="6"/>
        <v>1718183.4109999998</v>
      </c>
      <c r="O49" s="198">
        <f t="shared" si="7"/>
        <v>736364.319</v>
      </c>
      <c r="P49" s="201">
        <v>73463.46</v>
      </c>
      <c r="Q49" s="201">
        <v>130000</v>
      </c>
      <c r="R49" s="199">
        <v>44195</v>
      </c>
      <c r="S49" s="216" t="s">
        <v>184</v>
      </c>
      <c r="T49" s="201">
        <v>2454547.73</v>
      </c>
      <c r="U49" s="241">
        <f t="shared" si="0"/>
        <v>0</v>
      </c>
    </row>
    <row r="50" spans="1:21" s="219" customFormat="1" ht="15">
      <c r="A50" s="200" t="s">
        <v>23</v>
      </c>
      <c r="B50" s="196"/>
      <c r="C50" s="214" t="s">
        <v>261</v>
      </c>
      <c r="D50" s="216" t="s">
        <v>261</v>
      </c>
      <c r="E50" s="216" t="s">
        <v>261</v>
      </c>
      <c r="F50" s="216" t="s">
        <v>261</v>
      </c>
      <c r="G50" s="216" t="s">
        <v>261</v>
      </c>
      <c r="H50" s="214">
        <f>SUM(H32:H49)</f>
        <v>50</v>
      </c>
      <c r="I50" s="201">
        <f>SUM(I32:I49)</f>
        <v>118304.51999999999</v>
      </c>
      <c r="J50" s="201">
        <f aca="true" t="shared" si="9" ref="J50:Q50">SUM(J32:J49)</f>
        <v>102940.88000000002</v>
      </c>
      <c r="K50" s="201">
        <f t="shared" si="9"/>
        <v>4557</v>
      </c>
      <c r="L50" s="279">
        <f t="shared" si="9"/>
        <v>4512</v>
      </c>
      <c r="M50" s="201">
        <f>SUM(M32:M49)</f>
        <v>138681579.56</v>
      </c>
      <c r="N50" s="201">
        <f t="shared" si="9"/>
        <v>89955884.59200001</v>
      </c>
      <c r="O50" s="201">
        <f t="shared" si="9"/>
        <v>38552521.967999995</v>
      </c>
      <c r="P50" s="201">
        <f t="shared" si="9"/>
        <v>3673172.999999999</v>
      </c>
      <c r="Q50" s="201">
        <f t="shared" si="9"/>
        <v>6500000</v>
      </c>
      <c r="R50" s="214" t="s">
        <v>261</v>
      </c>
      <c r="S50" s="214" t="s">
        <v>261</v>
      </c>
      <c r="T50" s="201">
        <f>SUM(T32:T49)</f>
        <v>128508406.56000003</v>
      </c>
      <c r="U50" s="241">
        <f t="shared" si="0"/>
        <v>0</v>
      </c>
    </row>
    <row r="51" spans="1:21" s="219" customFormat="1" ht="15">
      <c r="A51" s="249" t="s">
        <v>454</v>
      </c>
      <c r="B51" s="196"/>
      <c r="C51" s="206"/>
      <c r="D51" s="206"/>
      <c r="E51" s="206"/>
      <c r="F51" s="206"/>
      <c r="G51" s="206"/>
      <c r="H51" s="206"/>
      <c r="I51" s="222"/>
      <c r="J51" s="222"/>
      <c r="K51" s="222"/>
      <c r="L51" s="251"/>
      <c r="M51" s="222"/>
      <c r="N51" s="222"/>
      <c r="O51" s="222"/>
      <c r="P51" s="222"/>
      <c r="Q51" s="222"/>
      <c r="R51" s="214"/>
      <c r="S51" s="214"/>
      <c r="T51" s="206"/>
      <c r="U51" s="241">
        <f aca="true" t="shared" si="10" ref="U51:U74">T51-N51-O51</f>
        <v>0</v>
      </c>
    </row>
    <row r="52" spans="1:21" s="219" customFormat="1" ht="15">
      <c r="A52" s="195">
        <f>A49+1</f>
        <v>24</v>
      </c>
      <c r="B52" s="196" t="s">
        <v>568</v>
      </c>
      <c r="C52" s="214">
        <v>1993</v>
      </c>
      <c r="D52" s="214"/>
      <c r="E52" s="214" t="s">
        <v>369</v>
      </c>
      <c r="F52" s="279">
        <v>10</v>
      </c>
      <c r="G52" s="214">
        <v>2</v>
      </c>
      <c r="H52" s="214">
        <v>2</v>
      </c>
      <c r="I52" s="201">
        <v>5733.2</v>
      </c>
      <c r="J52" s="201">
        <v>4539.4</v>
      </c>
      <c r="K52" s="201">
        <v>4540.1</v>
      </c>
      <c r="L52" s="238">
        <v>157</v>
      </c>
      <c r="M52" s="198">
        <f>N52+O52+P52+Q52</f>
        <v>5607180.89</v>
      </c>
      <c r="N52" s="198">
        <f>T52*0.7</f>
        <v>3640177.7789999996</v>
      </c>
      <c r="O52" s="198">
        <f>T52*0.3</f>
        <v>1560076.1909999999</v>
      </c>
      <c r="P52" s="201">
        <v>146926.92</v>
      </c>
      <c r="Q52" s="201">
        <v>260000</v>
      </c>
      <c r="R52" s="199">
        <v>44195</v>
      </c>
      <c r="S52" s="216" t="s">
        <v>184</v>
      </c>
      <c r="T52" s="201">
        <f>'[1]субсидия'!$C$102+'[1]субсидия'!$C$103</f>
        <v>5200253.97</v>
      </c>
      <c r="U52" s="241">
        <f t="shared" si="10"/>
        <v>0</v>
      </c>
    </row>
    <row r="53" spans="1:21" s="219" customFormat="1" ht="15">
      <c r="A53" s="195">
        <f>A52+1</f>
        <v>25</v>
      </c>
      <c r="B53" s="196" t="s">
        <v>569</v>
      </c>
      <c r="C53" s="214">
        <v>1995</v>
      </c>
      <c r="D53" s="214"/>
      <c r="E53" s="214" t="s">
        <v>369</v>
      </c>
      <c r="F53" s="279">
        <v>10</v>
      </c>
      <c r="G53" s="214">
        <v>2</v>
      </c>
      <c r="H53" s="214">
        <v>1</v>
      </c>
      <c r="I53" s="201">
        <v>5436</v>
      </c>
      <c r="J53" s="201">
        <v>4477.84</v>
      </c>
      <c r="K53" s="201">
        <v>4437.73</v>
      </c>
      <c r="L53" s="238">
        <v>146</v>
      </c>
      <c r="M53" s="198">
        <f>N53+O53+P53+Q53</f>
        <v>2800466.3099999996</v>
      </c>
      <c r="N53" s="198">
        <f>T53*0.7</f>
        <v>1817901.9949999999</v>
      </c>
      <c r="O53" s="198">
        <f>T53*0.3</f>
        <v>779100.855</v>
      </c>
      <c r="P53" s="201">
        <v>73463.46</v>
      </c>
      <c r="Q53" s="201">
        <v>130000</v>
      </c>
      <c r="R53" s="199">
        <v>44195</v>
      </c>
      <c r="S53" s="216" t="s">
        <v>184</v>
      </c>
      <c r="T53" s="201">
        <f>'[1]субсидия'!$C$104</f>
        <v>2597002.85</v>
      </c>
      <c r="U53" s="241">
        <f t="shared" si="10"/>
        <v>0</v>
      </c>
    </row>
    <row r="54" spans="1:21" s="219" customFormat="1" ht="15">
      <c r="A54" s="200" t="s">
        <v>23</v>
      </c>
      <c r="B54" s="196"/>
      <c r="C54" s="214" t="s">
        <v>261</v>
      </c>
      <c r="D54" s="216" t="s">
        <v>261</v>
      </c>
      <c r="E54" s="216" t="s">
        <v>261</v>
      </c>
      <c r="F54" s="179" t="s">
        <v>261</v>
      </c>
      <c r="G54" s="216" t="s">
        <v>261</v>
      </c>
      <c r="H54" s="279">
        <f>SUM(H52:H53)</f>
        <v>3</v>
      </c>
      <c r="I54" s="201">
        <f>SUM(I52:I53)</f>
        <v>11169.2</v>
      </c>
      <c r="J54" s="201">
        <f aca="true" t="shared" si="11" ref="J54:Q54">SUM(J52:J53)</f>
        <v>9017.24</v>
      </c>
      <c r="K54" s="201">
        <f t="shared" si="11"/>
        <v>8977.83</v>
      </c>
      <c r="L54" s="279">
        <f>SUM(L52:L53)</f>
        <v>303</v>
      </c>
      <c r="M54" s="201">
        <f t="shared" si="11"/>
        <v>8407647.2</v>
      </c>
      <c r="N54" s="201">
        <f t="shared" si="11"/>
        <v>5458079.773999999</v>
      </c>
      <c r="O54" s="201">
        <f>SUM(O52:O53)</f>
        <v>2339177.046</v>
      </c>
      <c r="P54" s="201">
        <f t="shared" si="11"/>
        <v>220390.38</v>
      </c>
      <c r="Q54" s="201">
        <f t="shared" si="11"/>
        <v>390000</v>
      </c>
      <c r="R54" s="214" t="s">
        <v>261</v>
      </c>
      <c r="S54" s="214" t="s">
        <v>261</v>
      </c>
      <c r="T54" s="201">
        <f>SUM(T52:T53)</f>
        <v>7797256.82</v>
      </c>
      <c r="U54" s="241">
        <f t="shared" si="10"/>
        <v>0</v>
      </c>
    </row>
    <row r="55" spans="1:21" s="219" customFormat="1" ht="15">
      <c r="A55" s="249" t="s">
        <v>358</v>
      </c>
      <c r="B55" s="196"/>
      <c r="C55" s="206"/>
      <c r="D55" s="206"/>
      <c r="E55" s="206"/>
      <c r="F55" s="280"/>
      <c r="G55" s="206"/>
      <c r="H55" s="206"/>
      <c r="I55" s="222"/>
      <c r="J55" s="222"/>
      <c r="K55" s="222"/>
      <c r="L55" s="251"/>
      <c r="M55" s="222"/>
      <c r="N55" s="222"/>
      <c r="O55" s="222"/>
      <c r="P55" s="222"/>
      <c r="Q55" s="222"/>
      <c r="R55" s="206"/>
      <c r="S55" s="206"/>
      <c r="T55" s="206"/>
      <c r="U55" s="241">
        <f t="shared" si="10"/>
        <v>0</v>
      </c>
    </row>
    <row r="56" spans="1:21" s="219" customFormat="1" ht="15">
      <c r="A56" s="195">
        <f>A53+1</f>
        <v>26</v>
      </c>
      <c r="B56" s="196" t="s">
        <v>359</v>
      </c>
      <c r="C56" s="214">
        <v>1993</v>
      </c>
      <c r="D56" s="214"/>
      <c r="E56" s="214" t="s">
        <v>370</v>
      </c>
      <c r="F56" s="279">
        <v>10</v>
      </c>
      <c r="G56" s="214">
        <v>10</v>
      </c>
      <c r="H56" s="214">
        <v>10</v>
      </c>
      <c r="I56" s="201">
        <v>23896.1</v>
      </c>
      <c r="J56" s="201">
        <v>21603.1</v>
      </c>
      <c r="K56" s="201">
        <v>21603.1</v>
      </c>
      <c r="L56" s="238">
        <v>543</v>
      </c>
      <c r="M56" s="198">
        <f>N56+O56+P56+Q56</f>
        <v>28039263.53</v>
      </c>
      <c r="N56" s="198">
        <f>T56*0.7</f>
        <v>18203240.251</v>
      </c>
      <c r="O56" s="198">
        <f aca="true" t="shared" si="12" ref="O56:O67">T56*0.3</f>
        <v>7801388.679</v>
      </c>
      <c r="P56" s="201">
        <v>734634.6</v>
      </c>
      <c r="Q56" s="201">
        <v>1300000</v>
      </c>
      <c r="R56" s="199">
        <v>44195</v>
      </c>
      <c r="S56" s="216" t="s">
        <v>184</v>
      </c>
      <c r="T56" s="201">
        <f>SUM('[1]субсидия'!$C$30:$C$39)</f>
        <v>26004628.93</v>
      </c>
      <c r="U56" s="241">
        <f t="shared" si="10"/>
        <v>0</v>
      </c>
    </row>
    <row r="57" spans="1:21" s="219" customFormat="1" ht="15">
      <c r="A57" s="195">
        <f aca="true" t="shared" si="13" ref="A57:A67">A56+1</f>
        <v>27</v>
      </c>
      <c r="B57" s="196" t="s">
        <v>360</v>
      </c>
      <c r="C57" s="214">
        <v>1993</v>
      </c>
      <c r="D57" s="214"/>
      <c r="E57" s="214" t="s">
        <v>370</v>
      </c>
      <c r="F57" s="279">
        <v>10</v>
      </c>
      <c r="G57" s="214">
        <v>7</v>
      </c>
      <c r="H57" s="214">
        <v>7</v>
      </c>
      <c r="I57" s="201">
        <v>18388.1</v>
      </c>
      <c r="J57" s="201">
        <v>15879.6</v>
      </c>
      <c r="K57" s="201">
        <v>15879.6</v>
      </c>
      <c r="L57" s="238">
        <v>502</v>
      </c>
      <c r="M57" s="198">
        <f aca="true" t="shared" si="14" ref="M57:M67">N57+O57+P57+Q57</f>
        <v>20411418.75</v>
      </c>
      <c r="N57" s="198">
        <f aca="true" t="shared" si="15" ref="N57:N67">T57*0.7</f>
        <v>13291022.171</v>
      </c>
      <c r="O57" s="198">
        <f t="shared" si="12"/>
        <v>5696152.359</v>
      </c>
      <c r="P57" s="201">
        <v>514244.22000000003</v>
      </c>
      <c r="Q57" s="201">
        <v>910000</v>
      </c>
      <c r="R57" s="199">
        <v>44195</v>
      </c>
      <c r="S57" s="216" t="s">
        <v>184</v>
      </c>
      <c r="T57" s="201">
        <f>SUM('[1]субсидия'!$C$105:$C$111)</f>
        <v>18987174.53</v>
      </c>
      <c r="U57" s="241">
        <f t="shared" si="10"/>
        <v>0</v>
      </c>
    </row>
    <row r="58" spans="1:21" s="219" customFormat="1" ht="15">
      <c r="A58" s="195">
        <f t="shared" si="13"/>
        <v>28</v>
      </c>
      <c r="B58" s="196" t="s">
        <v>399</v>
      </c>
      <c r="C58" s="214">
        <v>1990</v>
      </c>
      <c r="D58" s="214"/>
      <c r="E58" s="214" t="s">
        <v>371</v>
      </c>
      <c r="F58" s="279">
        <v>9</v>
      </c>
      <c r="G58" s="214">
        <v>4</v>
      </c>
      <c r="H58" s="214">
        <v>4</v>
      </c>
      <c r="I58" s="201">
        <v>8948.6</v>
      </c>
      <c r="J58" s="201">
        <v>8005.7</v>
      </c>
      <c r="K58" s="201">
        <v>6760.4</v>
      </c>
      <c r="L58" s="238">
        <v>429</v>
      </c>
      <c r="M58" s="198">
        <f t="shared" si="14"/>
        <v>11173866.68</v>
      </c>
      <c r="N58" s="198">
        <f t="shared" si="15"/>
        <v>7252008.988</v>
      </c>
      <c r="O58" s="198">
        <f t="shared" si="12"/>
        <v>3108003.852</v>
      </c>
      <c r="P58" s="201">
        <v>293853.84</v>
      </c>
      <c r="Q58" s="201">
        <v>520000</v>
      </c>
      <c r="R58" s="199">
        <v>44195</v>
      </c>
      <c r="S58" s="216" t="s">
        <v>184</v>
      </c>
      <c r="T58" s="201">
        <f>SUM('[1]субсидия'!$C$40:$C$43)</f>
        <v>10360012.84</v>
      </c>
      <c r="U58" s="241">
        <f t="shared" si="10"/>
        <v>0</v>
      </c>
    </row>
    <row r="59" spans="1:21" s="219" customFormat="1" ht="15">
      <c r="A59" s="195">
        <f t="shared" si="13"/>
        <v>29</v>
      </c>
      <c r="B59" s="196" t="s">
        <v>400</v>
      </c>
      <c r="C59" s="214">
        <v>1991</v>
      </c>
      <c r="D59" s="214"/>
      <c r="E59" s="214" t="s">
        <v>372</v>
      </c>
      <c r="F59" s="279">
        <v>9</v>
      </c>
      <c r="G59" s="214">
        <v>4</v>
      </c>
      <c r="H59" s="214">
        <v>4</v>
      </c>
      <c r="I59" s="201">
        <v>8812.9</v>
      </c>
      <c r="J59" s="201">
        <v>7914.9</v>
      </c>
      <c r="K59" s="201">
        <v>7222.39</v>
      </c>
      <c r="L59" s="238">
        <v>396</v>
      </c>
      <c r="M59" s="198">
        <f t="shared" si="14"/>
        <v>11167806.91</v>
      </c>
      <c r="N59" s="198">
        <f t="shared" si="15"/>
        <v>7247767.149</v>
      </c>
      <c r="O59" s="198">
        <f t="shared" si="12"/>
        <v>3106185.921</v>
      </c>
      <c r="P59" s="201">
        <v>293853.84</v>
      </c>
      <c r="Q59" s="201">
        <v>520000</v>
      </c>
      <c r="R59" s="199">
        <v>44195</v>
      </c>
      <c r="S59" s="216" t="s">
        <v>184</v>
      </c>
      <c r="T59" s="201">
        <f>SUM('[1]субсидия'!$C$48:$C$51)</f>
        <v>10353953.07</v>
      </c>
      <c r="U59" s="241">
        <f t="shared" si="10"/>
        <v>0</v>
      </c>
    </row>
    <row r="60" spans="1:21" s="219" customFormat="1" ht="15">
      <c r="A60" s="195">
        <f t="shared" si="13"/>
        <v>30</v>
      </c>
      <c r="B60" s="196" t="s">
        <v>361</v>
      </c>
      <c r="C60" s="214">
        <v>1994</v>
      </c>
      <c r="D60" s="214"/>
      <c r="E60" s="214" t="s">
        <v>370</v>
      </c>
      <c r="F60" s="279">
        <v>10</v>
      </c>
      <c r="G60" s="214">
        <v>6</v>
      </c>
      <c r="H60" s="214">
        <v>6</v>
      </c>
      <c r="I60" s="201">
        <v>14512</v>
      </c>
      <c r="J60" s="201">
        <v>12993.3</v>
      </c>
      <c r="K60" s="201">
        <v>12911.85</v>
      </c>
      <c r="L60" s="238">
        <v>332</v>
      </c>
      <c r="M60" s="198">
        <f t="shared" si="14"/>
        <v>17389925.669999998</v>
      </c>
      <c r="N60" s="198">
        <f t="shared" si="15"/>
        <v>11318401.436999999</v>
      </c>
      <c r="O60" s="198">
        <f t="shared" si="12"/>
        <v>4850743.472999999</v>
      </c>
      <c r="P60" s="201">
        <v>440780.76</v>
      </c>
      <c r="Q60" s="201">
        <v>780000</v>
      </c>
      <c r="R60" s="199">
        <v>44195</v>
      </c>
      <c r="S60" s="216" t="s">
        <v>184</v>
      </c>
      <c r="T60" s="201">
        <f>SUM('[1]субсидия'!$C$52:$C$57)</f>
        <v>16169144.909999998</v>
      </c>
      <c r="U60" s="241">
        <f t="shared" si="10"/>
        <v>0</v>
      </c>
    </row>
    <row r="61" spans="1:21" s="219" customFormat="1" ht="15">
      <c r="A61" s="195">
        <f t="shared" si="13"/>
        <v>31</v>
      </c>
      <c r="B61" s="196" t="s">
        <v>401</v>
      </c>
      <c r="C61" s="214">
        <v>1995</v>
      </c>
      <c r="D61" s="214"/>
      <c r="E61" s="214" t="s">
        <v>373</v>
      </c>
      <c r="F61" s="279">
        <v>10</v>
      </c>
      <c r="G61" s="214">
        <v>4</v>
      </c>
      <c r="H61" s="214">
        <v>4</v>
      </c>
      <c r="I61" s="201">
        <v>9998.4</v>
      </c>
      <c r="J61" s="201">
        <v>9029.9</v>
      </c>
      <c r="K61" s="201">
        <v>8630.2</v>
      </c>
      <c r="L61" s="238">
        <v>345</v>
      </c>
      <c r="M61" s="198">
        <f t="shared" si="14"/>
        <v>11585255.209999999</v>
      </c>
      <c r="N61" s="198">
        <f t="shared" si="15"/>
        <v>7539980.958999999</v>
      </c>
      <c r="O61" s="198">
        <f t="shared" si="12"/>
        <v>3231420.411</v>
      </c>
      <c r="P61" s="201">
        <v>293853.84</v>
      </c>
      <c r="Q61" s="201">
        <v>520000</v>
      </c>
      <c r="R61" s="199">
        <v>44195</v>
      </c>
      <c r="S61" s="216" t="s">
        <v>184</v>
      </c>
      <c r="T61" s="201">
        <f>SUM('[1]субсидия'!$C$44:$C$47)</f>
        <v>10771401.37</v>
      </c>
      <c r="U61" s="241">
        <f t="shared" si="10"/>
        <v>0</v>
      </c>
    </row>
    <row r="62" spans="1:21" s="219" customFormat="1" ht="15">
      <c r="A62" s="195">
        <f t="shared" si="13"/>
        <v>32</v>
      </c>
      <c r="B62" s="196" t="s">
        <v>402</v>
      </c>
      <c r="C62" s="214">
        <v>1994</v>
      </c>
      <c r="D62" s="214"/>
      <c r="E62" s="214" t="s">
        <v>373</v>
      </c>
      <c r="F62" s="279">
        <v>10</v>
      </c>
      <c r="G62" s="214">
        <v>4</v>
      </c>
      <c r="H62" s="214">
        <v>4</v>
      </c>
      <c r="I62" s="201">
        <v>10748.2</v>
      </c>
      <c r="J62" s="201">
        <v>9297</v>
      </c>
      <c r="K62" s="201">
        <v>9297</v>
      </c>
      <c r="L62" s="238">
        <v>338</v>
      </c>
      <c r="M62" s="198">
        <f t="shared" si="14"/>
        <v>11076853.1</v>
      </c>
      <c r="N62" s="198">
        <f t="shared" si="15"/>
        <v>7184099.482</v>
      </c>
      <c r="O62" s="198">
        <f t="shared" si="12"/>
        <v>3078899.778</v>
      </c>
      <c r="P62" s="201">
        <v>293853.84</v>
      </c>
      <c r="Q62" s="201">
        <v>520000</v>
      </c>
      <c r="R62" s="199">
        <v>44195</v>
      </c>
      <c r="S62" s="216" t="s">
        <v>184</v>
      </c>
      <c r="T62" s="201">
        <f>SUM('[1]субсидия'!$C$58:$C$61)</f>
        <v>10262999.26</v>
      </c>
      <c r="U62" s="241">
        <f t="shared" si="10"/>
        <v>0</v>
      </c>
    </row>
    <row r="63" spans="1:21" s="219" customFormat="1" ht="15">
      <c r="A63" s="195">
        <f t="shared" si="13"/>
        <v>33</v>
      </c>
      <c r="B63" s="196" t="s">
        <v>396</v>
      </c>
      <c r="C63" s="214">
        <v>1986</v>
      </c>
      <c r="D63" s="214"/>
      <c r="E63" s="214" t="s">
        <v>374</v>
      </c>
      <c r="F63" s="279">
        <v>9</v>
      </c>
      <c r="G63" s="214">
        <v>3</v>
      </c>
      <c r="H63" s="214">
        <v>3</v>
      </c>
      <c r="I63" s="201">
        <v>6852.3</v>
      </c>
      <c r="J63" s="201">
        <v>6197.3</v>
      </c>
      <c r="K63" s="201">
        <v>5539.1</v>
      </c>
      <c r="L63" s="238">
        <v>259</v>
      </c>
      <c r="M63" s="198">
        <f t="shared" si="14"/>
        <v>8336546.679999999</v>
      </c>
      <c r="N63" s="198">
        <f t="shared" si="15"/>
        <v>5408309.409999999</v>
      </c>
      <c r="O63" s="198">
        <f t="shared" si="12"/>
        <v>2317846.8899999997</v>
      </c>
      <c r="P63" s="201">
        <v>220390.38</v>
      </c>
      <c r="Q63" s="201">
        <v>390000</v>
      </c>
      <c r="R63" s="199">
        <v>44195</v>
      </c>
      <c r="S63" s="216" t="s">
        <v>184</v>
      </c>
      <c r="T63" s="201">
        <f>SUM('[1]субсидия'!$C$62:$C$64)</f>
        <v>7726156.3</v>
      </c>
      <c r="U63" s="241">
        <f t="shared" si="10"/>
        <v>0</v>
      </c>
    </row>
    <row r="64" spans="1:21" s="219" customFormat="1" ht="15">
      <c r="A64" s="195">
        <f t="shared" si="13"/>
        <v>34</v>
      </c>
      <c r="B64" s="196" t="s">
        <v>397</v>
      </c>
      <c r="C64" s="214">
        <v>1985</v>
      </c>
      <c r="D64" s="214"/>
      <c r="E64" s="214" t="s">
        <v>374</v>
      </c>
      <c r="F64" s="279">
        <v>9</v>
      </c>
      <c r="G64" s="214">
        <v>6</v>
      </c>
      <c r="H64" s="214">
        <v>6</v>
      </c>
      <c r="I64" s="201">
        <v>12899.7</v>
      </c>
      <c r="J64" s="201">
        <v>11559.3</v>
      </c>
      <c r="K64" s="201">
        <v>10414.69</v>
      </c>
      <c r="L64" s="238">
        <v>657</v>
      </c>
      <c r="M64" s="198">
        <f t="shared" si="14"/>
        <v>16621146.59</v>
      </c>
      <c r="N64" s="198">
        <f t="shared" si="15"/>
        <v>10780256.081</v>
      </c>
      <c r="O64" s="198">
        <f t="shared" si="12"/>
        <v>4620109.749</v>
      </c>
      <c r="P64" s="201">
        <v>440780.76</v>
      </c>
      <c r="Q64" s="201">
        <v>780000</v>
      </c>
      <c r="R64" s="199">
        <v>44195</v>
      </c>
      <c r="S64" s="216" t="s">
        <v>184</v>
      </c>
      <c r="T64" s="201">
        <f>SUM('[1]субсидия'!$C$65:$C$70)</f>
        <v>15400365.83</v>
      </c>
      <c r="U64" s="241">
        <f t="shared" si="10"/>
        <v>0</v>
      </c>
    </row>
    <row r="65" spans="1:21" s="219" customFormat="1" ht="15">
      <c r="A65" s="195">
        <f t="shared" si="13"/>
        <v>35</v>
      </c>
      <c r="B65" s="196" t="s">
        <v>398</v>
      </c>
      <c r="C65" s="214">
        <v>1983</v>
      </c>
      <c r="D65" s="214"/>
      <c r="E65" s="214" t="s">
        <v>374</v>
      </c>
      <c r="F65" s="279">
        <v>9</v>
      </c>
      <c r="G65" s="214">
        <v>3</v>
      </c>
      <c r="H65" s="214">
        <v>3</v>
      </c>
      <c r="I65" s="201">
        <v>6792.8</v>
      </c>
      <c r="J65" s="201">
        <v>6197.3</v>
      </c>
      <c r="K65" s="201">
        <v>5539.1</v>
      </c>
      <c r="L65" s="238">
        <v>259</v>
      </c>
      <c r="M65" s="198">
        <f t="shared" si="14"/>
        <v>8397979.15</v>
      </c>
      <c r="N65" s="198">
        <f t="shared" si="15"/>
        <v>5451312.139</v>
      </c>
      <c r="O65" s="198">
        <f t="shared" si="12"/>
        <v>2336276.631</v>
      </c>
      <c r="P65" s="201">
        <v>220390.38</v>
      </c>
      <c r="Q65" s="201">
        <v>390000</v>
      </c>
      <c r="R65" s="199">
        <v>44195</v>
      </c>
      <c r="S65" s="216" t="s">
        <v>184</v>
      </c>
      <c r="T65" s="201">
        <f>SUM('[1]субсидия'!$C$71:$C$73)</f>
        <v>7787588.7700000005</v>
      </c>
      <c r="U65" s="241">
        <f t="shared" si="10"/>
        <v>0</v>
      </c>
    </row>
    <row r="66" spans="1:21" s="219" customFormat="1" ht="15">
      <c r="A66" s="195">
        <f t="shared" si="13"/>
        <v>36</v>
      </c>
      <c r="B66" s="196" t="s">
        <v>362</v>
      </c>
      <c r="C66" s="214">
        <v>1987</v>
      </c>
      <c r="D66" s="214"/>
      <c r="E66" s="214" t="s">
        <v>374</v>
      </c>
      <c r="F66" s="279">
        <v>10</v>
      </c>
      <c r="G66" s="214">
        <v>5</v>
      </c>
      <c r="H66" s="214">
        <v>5</v>
      </c>
      <c r="I66" s="201">
        <v>12934.2</v>
      </c>
      <c r="J66" s="201">
        <v>11631.4</v>
      </c>
      <c r="K66" s="201">
        <v>10450.46</v>
      </c>
      <c r="L66" s="238">
        <v>634</v>
      </c>
      <c r="M66" s="198">
        <f t="shared" si="14"/>
        <v>14608778.029999997</v>
      </c>
      <c r="N66" s="198">
        <f t="shared" si="15"/>
        <v>9514022.510999998</v>
      </c>
      <c r="O66" s="198">
        <f t="shared" si="12"/>
        <v>4077438.2189999996</v>
      </c>
      <c r="P66" s="201">
        <v>367317.3</v>
      </c>
      <c r="Q66" s="201">
        <v>650000</v>
      </c>
      <c r="R66" s="199">
        <v>44195</v>
      </c>
      <c r="S66" s="216" t="s">
        <v>184</v>
      </c>
      <c r="T66" s="201">
        <f>SUM('[1]субсидия'!$C$74:$C$78)</f>
        <v>13591460.729999999</v>
      </c>
      <c r="U66" s="241">
        <f t="shared" si="10"/>
        <v>0</v>
      </c>
    </row>
    <row r="67" spans="1:21" s="219" customFormat="1" ht="15">
      <c r="A67" s="195">
        <f t="shared" si="13"/>
        <v>37</v>
      </c>
      <c r="B67" s="196" t="s">
        <v>363</v>
      </c>
      <c r="C67" s="214">
        <v>1990</v>
      </c>
      <c r="D67" s="214"/>
      <c r="E67" s="214" t="s">
        <v>372</v>
      </c>
      <c r="F67" s="279">
        <v>10</v>
      </c>
      <c r="G67" s="214">
        <v>5</v>
      </c>
      <c r="H67" s="214">
        <v>5</v>
      </c>
      <c r="I67" s="201">
        <v>11762.3</v>
      </c>
      <c r="J67" s="201">
        <v>10643.6</v>
      </c>
      <c r="K67" s="201">
        <v>10046.4</v>
      </c>
      <c r="L67" s="238">
        <v>588</v>
      </c>
      <c r="M67" s="198">
        <f t="shared" si="14"/>
        <v>14608085.02</v>
      </c>
      <c r="N67" s="198">
        <f t="shared" si="15"/>
        <v>9513537.404</v>
      </c>
      <c r="O67" s="198">
        <f t="shared" si="12"/>
        <v>4077230.316</v>
      </c>
      <c r="P67" s="201">
        <v>367317.3</v>
      </c>
      <c r="Q67" s="201">
        <v>650000</v>
      </c>
      <c r="R67" s="199">
        <v>44195</v>
      </c>
      <c r="S67" s="216" t="s">
        <v>184</v>
      </c>
      <c r="T67" s="201">
        <f>SUM('[1]субсидия'!$C$79:$C$83)</f>
        <v>13590767.72</v>
      </c>
      <c r="U67" s="241">
        <f t="shared" si="10"/>
        <v>0</v>
      </c>
    </row>
    <row r="68" spans="1:21" s="219" customFormat="1" ht="15">
      <c r="A68" s="200" t="s">
        <v>23</v>
      </c>
      <c r="B68" s="196"/>
      <c r="C68" s="214" t="s">
        <v>261</v>
      </c>
      <c r="D68" s="216" t="s">
        <v>261</v>
      </c>
      <c r="E68" s="216" t="s">
        <v>261</v>
      </c>
      <c r="F68" s="179" t="s">
        <v>261</v>
      </c>
      <c r="G68" s="216" t="s">
        <v>261</v>
      </c>
      <c r="H68" s="279">
        <f>SUM(H56:H67)</f>
        <v>61</v>
      </c>
      <c r="I68" s="201">
        <f>SUM(I56:I67)</f>
        <v>146545.59999999998</v>
      </c>
      <c r="J68" s="201">
        <f aca="true" t="shared" si="16" ref="J68:Q68">SUM(J56:J67)</f>
        <v>130952.4</v>
      </c>
      <c r="K68" s="201">
        <f t="shared" si="16"/>
        <v>124294.29000000001</v>
      </c>
      <c r="L68" s="279">
        <f t="shared" si="16"/>
        <v>5282</v>
      </c>
      <c r="M68" s="201">
        <f t="shared" si="16"/>
        <v>173416925.32</v>
      </c>
      <c r="N68" s="201">
        <f t="shared" si="16"/>
        <v>112703957.98199998</v>
      </c>
      <c r="O68" s="201">
        <f t="shared" si="16"/>
        <v>48301696.27799999</v>
      </c>
      <c r="P68" s="201">
        <f t="shared" si="16"/>
        <v>4481271.06</v>
      </c>
      <c r="Q68" s="201">
        <f t="shared" si="16"/>
        <v>7930000</v>
      </c>
      <c r="R68" s="214" t="s">
        <v>261</v>
      </c>
      <c r="S68" s="214" t="s">
        <v>261</v>
      </c>
      <c r="T68" s="201">
        <f>SUM(T56:T67)</f>
        <v>161005654.26</v>
      </c>
      <c r="U68" s="241">
        <f t="shared" si="10"/>
        <v>0</v>
      </c>
    </row>
    <row r="69" spans="1:21" s="219" customFormat="1" ht="15">
      <c r="A69" s="249" t="s">
        <v>364</v>
      </c>
      <c r="B69" s="196"/>
      <c r="C69" s="206"/>
      <c r="D69" s="206"/>
      <c r="E69" s="206"/>
      <c r="F69" s="280"/>
      <c r="G69" s="206"/>
      <c r="H69" s="206"/>
      <c r="I69" s="222"/>
      <c r="J69" s="222"/>
      <c r="K69" s="222"/>
      <c r="L69" s="251"/>
      <c r="M69" s="222"/>
      <c r="N69" s="222"/>
      <c r="O69" s="222"/>
      <c r="P69" s="222"/>
      <c r="Q69" s="222"/>
      <c r="R69" s="206"/>
      <c r="S69" s="206"/>
      <c r="T69" s="206"/>
      <c r="U69" s="241">
        <f t="shared" si="10"/>
        <v>0</v>
      </c>
    </row>
    <row r="70" spans="1:21" s="219" customFormat="1" ht="15">
      <c r="A70" s="195">
        <f>A67+1</f>
        <v>38</v>
      </c>
      <c r="B70" s="196" t="s">
        <v>380</v>
      </c>
      <c r="C70" s="205">
        <v>1991</v>
      </c>
      <c r="D70" s="281"/>
      <c r="E70" s="281" t="s">
        <v>185</v>
      </c>
      <c r="F70" s="182">
        <v>9</v>
      </c>
      <c r="G70" s="182">
        <v>1</v>
      </c>
      <c r="H70" s="214">
        <v>1</v>
      </c>
      <c r="I70" s="194">
        <v>3969</v>
      </c>
      <c r="J70" s="194">
        <v>3538.7</v>
      </c>
      <c r="K70" s="194">
        <v>3538.7</v>
      </c>
      <c r="L70" s="205">
        <v>150</v>
      </c>
      <c r="M70" s="198">
        <f>N70+O70+P70+Q70</f>
        <v>2803553.2199999997</v>
      </c>
      <c r="N70" s="198">
        <f aca="true" t="shared" si="17" ref="N70:N84">T70*0.7</f>
        <v>1820062.8319999997</v>
      </c>
      <c r="O70" s="198">
        <f aca="true" t="shared" si="18" ref="O70:O84">T70*0.3</f>
        <v>780026.928</v>
      </c>
      <c r="P70" s="194">
        <v>73463.46</v>
      </c>
      <c r="Q70" s="194">
        <v>130000</v>
      </c>
      <c r="R70" s="199">
        <v>44195</v>
      </c>
      <c r="S70" s="216" t="s">
        <v>184</v>
      </c>
      <c r="T70" s="222">
        <f>'[1]субсидия'!$C$84</f>
        <v>2600089.76</v>
      </c>
      <c r="U70" s="241">
        <f t="shared" si="10"/>
        <v>0</v>
      </c>
    </row>
    <row r="71" spans="1:21" s="219" customFormat="1" ht="15">
      <c r="A71" s="195">
        <f>A70+1</f>
        <v>39</v>
      </c>
      <c r="B71" s="196" t="s">
        <v>365</v>
      </c>
      <c r="C71" s="214">
        <v>1994</v>
      </c>
      <c r="D71" s="214"/>
      <c r="E71" s="214" t="s">
        <v>183</v>
      </c>
      <c r="F71" s="279">
        <v>10</v>
      </c>
      <c r="G71" s="214">
        <v>6</v>
      </c>
      <c r="H71" s="214">
        <v>6</v>
      </c>
      <c r="I71" s="201">
        <v>14311.3</v>
      </c>
      <c r="J71" s="201">
        <v>12879.7</v>
      </c>
      <c r="K71" s="201">
        <v>12879.7</v>
      </c>
      <c r="L71" s="238">
        <v>210</v>
      </c>
      <c r="M71" s="198">
        <f aca="true" t="shared" si="19" ref="M71:M84">N71+O71+P71+Q71</f>
        <v>17310873.879999995</v>
      </c>
      <c r="N71" s="198">
        <f t="shared" si="17"/>
        <v>11263065.183999998</v>
      </c>
      <c r="O71" s="198">
        <f t="shared" si="18"/>
        <v>4827027.936</v>
      </c>
      <c r="P71" s="201">
        <v>440780.76</v>
      </c>
      <c r="Q71" s="201">
        <v>780000</v>
      </c>
      <c r="R71" s="199">
        <v>44195</v>
      </c>
      <c r="S71" s="216" t="s">
        <v>184</v>
      </c>
      <c r="T71" s="201">
        <f>SUM('[1]субсидия'!$C$91:$C$96)</f>
        <v>16090093.12</v>
      </c>
      <c r="U71" s="241">
        <f t="shared" si="10"/>
        <v>0</v>
      </c>
    </row>
    <row r="72" spans="1:21" s="219" customFormat="1" ht="15">
      <c r="A72" s="195">
        <f>A71+1</f>
        <v>40</v>
      </c>
      <c r="B72" s="196" t="s">
        <v>381</v>
      </c>
      <c r="C72" s="203">
        <v>1992</v>
      </c>
      <c r="D72" s="281"/>
      <c r="E72" s="281" t="s">
        <v>183</v>
      </c>
      <c r="F72" s="282">
        <v>9</v>
      </c>
      <c r="G72" s="282">
        <v>6</v>
      </c>
      <c r="H72" s="214">
        <v>6</v>
      </c>
      <c r="I72" s="193">
        <v>13365</v>
      </c>
      <c r="J72" s="193">
        <v>11604.3</v>
      </c>
      <c r="K72" s="193">
        <v>11604.3</v>
      </c>
      <c r="L72" s="197">
        <v>637</v>
      </c>
      <c r="M72" s="198">
        <f t="shared" si="19"/>
        <v>16773243.930000002</v>
      </c>
      <c r="N72" s="198">
        <f t="shared" si="17"/>
        <v>10886724.219</v>
      </c>
      <c r="O72" s="198">
        <f t="shared" si="18"/>
        <v>4665738.951</v>
      </c>
      <c r="P72" s="201">
        <v>440780.76</v>
      </c>
      <c r="Q72" s="201">
        <v>780000</v>
      </c>
      <c r="R72" s="199">
        <v>44195</v>
      </c>
      <c r="S72" s="216" t="s">
        <v>184</v>
      </c>
      <c r="T72" s="201">
        <f>SUM('[1]субсидия'!$C$85:$C$90)</f>
        <v>15552463.170000002</v>
      </c>
      <c r="U72" s="241">
        <f t="shared" si="10"/>
        <v>0</v>
      </c>
    </row>
    <row r="73" spans="1:21" s="219" customFormat="1" ht="15">
      <c r="A73" s="195">
        <f>A72+1</f>
        <v>41</v>
      </c>
      <c r="B73" s="283" t="s">
        <v>375</v>
      </c>
      <c r="C73" s="214">
        <v>1994</v>
      </c>
      <c r="D73" s="214"/>
      <c r="E73" s="214" t="s">
        <v>183</v>
      </c>
      <c r="F73" s="279">
        <v>9</v>
      </c>
      <c r="G73" s="214">
        <v>3</v>
      </c>
      <c r="H73" s="214">
        <v>3</v>
      </c>
      <c r="I73" s="201">
        <v>7096.1</v>
      </c>
      <c r="J73" s="201">
        <v>6188.2</v>
      </c>
      <c r="K73" s="201">
        <v>6188.2</v>
      </c>
      <c r="L73" s="238">
        <v>281</v>
      </c>
      <c r="M73" s="198">
        <f t="shared" si="19"/>
        <v>7289647.929999999</v>
      </c>
      <c r="N73" s="198">
        <f t="shared" si="17"/>
        <v>4675480.284999999</v>
      </c>
      <c r="O73" s="198">
        <f t="shared" si="18"/>
        <v>2003777.265</v>
      </c>
      <c r="P73" s="201">
        <v>220390.38</v>
      </c>
      <c r="Q73" s="201">
        <v>390000</v>
      </c>
      <c r="R73" s="199">
        <v>44195</v>
      </c>
      <c r="S73" s="216" t="s">
        <v>184</v>
      </c>
      <c r="T73" s="201">
        <f>SUM('[1]субсидия'!$C$112:$C$114)</f>
        <v>6679257.55</v>
      </c>
      <c r="U73" s="241">
        <f t="shared" si="10"/>
        <v>0</v>
      </c>
    </row>
    <row r="74" spans="1:21" s="219" customFormat="1" ht="15">
      <c r="A74" s="195">
        <f aca="true" t="shared" si="20" ref="A74:A84">A73+1</f>
        <v>42</v>
      </c>
      <c r="B74" s="196" t="s">
        <v>382</v>
      </c>
      <c r="C74" s="205">
        <v>1989</v>
      </c>
      <c r="D74" s="281"/>
      <c r="E74" s="281" t="s">
        <v>183</v>
      </c>
      <c r="F74" s="182">
        <v>9</v>
      </c>
      <c r="G74" s="182">
        <v>6</v>
      </c>
      <c r="H74" s="214">
        <v>6</v>
      </c>
      <c r="I74" s="194">
        <v>12931.6</v>
      </c>
      <c r="J74" s="194">
        <v>11605.6</v>
      </c>
      <c r="K74" s="194">
        <v>11605.6</v>
      </c>
      <c r="L74" s="205">
        <v>672</v>
      </c>
      <c r="M74" s="198">
        <f t="shared" si="19"/>
        <v>14645929.83</v>
      </c>
      <c r="N74" s="198">
        <f t="shared" si="17"/>
        <v>9397604.349</v>
      </c>
      <c r="O74" s="198">
        <f t="shared" si="18"/>
        <v>4027544.721</v>
      </c>
      <c r="P74" s="201">
        <v>440780.76</v>
      </c>
      <c r="Q74" s="201">
        <v>780000</v>
      </c>
      <c r="R74" s="199">
        <v>44195</v>
      </c>
      <c r="S74" s="216" t="s">
        <v>184</v>
      </c>
      <c r="T74" s="201">
        <f>SUM('[1]субсидия'!$C$121:$C$126)</f>
        <v>13425149.07</v>
      </c>
      <c r="U74" s="241">
        <f t="shared" si="10"/>
        <v>0</v>
      </c>
    </row>
    <row r="75" spans="1:21" s="219" customFormat="1" ht="15">
      <c r="A75" s="195">
        <f t="shared" si="20"/>
        <v>43</v>
      </c>
      <c r="B75" s="196" t="s">
        <v>383</v>
      </c>
      <c r="C75" s="205">
        <v>1990</v>
      </c>
      <c r="D75" s="281"/>
      <c r="E75" s="281" t="s">
        <v>183</v>
      </c>
      <c r="F75" s="182">
        <v>9</v>
      </c>
      <c r="G75" s="182">
        <v>6</v>
      </c>
      <c r="H75" s="214">
        <v>6</v>
      </c>
      <c r="I75" s="194">
        <v>13306</v>
      </c>
      <c r="J75" s="194">
        <v>11684.2</v>
      </c>
      <c r="K75" s="194">
        <v>11684.2</v>
      </c>
      <c r="L75" s="205">
        <v>637</v>
      </c>
      <c r="M75" s="198">
        <f t="shared" si="19"/>
        <v>14670815.779999997</v>
      </c>
      <c r="N75" s="198">
        <f t="shared" si="17"/>
        <v>9415024.513999999</v>
      </c>
      <c r="O75" s="198">
        <f t="shared" si="18"/>
        <v>4035010.5059999996</v>
      </c>
      <c r="P75" s="201">
        <v>440780.76</v>
      </c>
      <c r="Q75" s="201">
        <v>780000</v>
      </c>
      <c r="R75" s="199">
        <v>44195</v>
      </c>
      <c r="S75" s="216" t="s">
        <v>184</v>
      </c>
      <c r="T75" s="201">
        <f>SUM('[1]субсидия'!$C$115:$C$120)</f>
        <v>13450035.02</v>
      </c>
      <c r="U75" s="241"/>
    </row>
    <row r="76" spans="1:21" s="219" customFormat="1" ht="15">
      <c r="A76" s="195">
        <f t="shared" si="20"/>
        <v>44</v>
      </c>
      <c r="B76" s="196" t="s">
        <v>384</v>
      </c>
      <c r="C76" s="197">
        <v>1991</v>
      </c>
      <c r="D76" s="281"/>
      <c r="E76" s="281" t="s">
        <v>183</v>
      </c>
      <c r="F76" s="182">
        <v>9</v>
      </c>
      <c r="G76" s="182">
        <v>6</v>
      </c>
      <c r="H76" s="214">
        <v>6</v>
      </c>
      <c r="I76" s="194">
        <v>13813</v>
      </c>
      <c r="J76" s="194">
        <v>11956.8</v>
      </c>
      <c r="K76" s="194">
        <v>11956.8</v>
      </c>
      <c r="L76" s="205">
        <v>545</v>
      </c>
      <c r="M76" s="198">
        <f t="shared" si="19"/>
        <v>16735885.249999996</v>
      </c>
      <c r="N76" s="198">
        <f t="shared" si="17"/>
        <v>10860573.142999997</v>
      </c>
      <c r="O76" s="198">
        <f t="shared" si="18"/>
        <v>4654531.346999999</v>
      </c>
      <c r="P76" s="201">
        <v>440780.76</v>
      </c>
      <c r="Q76" s="201">
        <v>780000</v>
      </c>
      <c r="R76" s="199">
        <v>44195</v>
      </c>
      <c r="S76" s="216" t="s">
        <v>184</v>
      </c>
      <c r="T76" s="201">
        <f>SUM('[1]субсидия'!$C$130:$C$135)</f>
        <v>15515104.489999998</v>
      </c>
      <c r="U76" s="241"/>
    </row>
    <row r="77" spans="1:21" s="219" customFormat="1" ht="15">
      <c r="A77" s="195">
        <f t="shared" si="20"/>
        <v>45</v>
      </c>
      <c r="B77" s="196" t="s">
        <v>385</v>
      </c>
      <c r="C77" s="197">
        <v>1991</v>
      </c>
      <c r="D77" s="281"/>
      <c r="E77" s="281" t="s">
        <v>183</v>
      </c>
      <c r="F77" s="182">
        <v>9</v>
      </c>
      <c r="G77" s="182">
        <v>6</v>
      </c>
      <c r="H77" s="214">
        <v>6</v>
      </c>
      <c r="I77" s="194">
        <v>12974.2</v>
      </c>
      <c r="J77" s="194">
        <v>11610.7</v>
      </c>
      <c r="K77" s="194">
        <v>11610.7</v>
      </c>
      <c r="L77" s="205">
        <v>689</v>
      </c>
      <c r="M77" s="198">
        <f t="shared" si="19"/>
        <v>16716186.500000002</v>
      </c>
      <c r="N77" s="198">
        <f t="shared" si="17"/>
        <v>10846784.018000001</v>
      </c>
      <c r="O77" s="198">
        <f t="shared" si="18"/>
        <v>4648621.722</v>
      </c>
      <c r="P77" s="201">
        <v>440780.76</v>
      </c>
      <c r="Q77" s="201">
        <v>780000</v>
      </c>
      <c r="R77" s="199">
        <v>44195</v>
      </c>
      <c r="S77" s="216" t="s">
        <v>184</v>
      </c>
      <c r="T77" s="201">
        <f>SUM('[1]субсидия'!$C$136:$C$141)</f>
        <v>15495405.740000002</v>
      </c>
      <c r="U77" s="241"/>
    </row>
    <row r="78" spans="1:21" s="219" customFormat="1" ht="15">
      <c r="A78" s="195">
        <f t="shared" si="20"/>
        <v>46</v>
      </c>
      <c r="B78" s="196" t="s">
        <v>386</v>
      </c>
      <c r="C78" s="197">
        <v>1992</v>
      </c>
      <c r="D78" s="281"/>
      <c r="E78" s="281" t="s">
        <v>183</v>
      </c>
      <c r="F78" s="182">
        <v>9</v>
      </c>
      <c r="G78" s="182">
        <v>6</v>
      </c>
      <c r="H78" s="214">
        <v>6</v>
      </c>
      <c r="I78" s="194">
        <v>13606.5</v>
      </c>
      <c r="J78" s="194">
        <v>11983.3</v>
      </c>
      <c r="K78" s="194">
        <v>11983.3</v>
      </c>
      <c r="L78" s="205">
        <v>556</v>
      </c>
      <c r="M78" s="198">
        <f t="shared" si="19"/>
        <v>14106096.089999998</v>
      </c>
      <c r="N78" s="198">
        <f t="shared" si="17"/>
        <v>9019720.730999999</v>
      </c>
      <c r="O78" s="198">
        <f t="shared" si="18"/>
        <v>3865594.599</v>
      </c>
      <c r="P78" s="201">
        <v>440780.76</v>
      </c>
      <c r="Q78" s="201">
        <v>780000</v>
      </c>
      <c r="R78" s="199">
        <v>44195</v>
      </c>
      <c r="S78" s="216" t="s">
        <v>184</v>
      </c>
      <c r="T78" s="201">
        <f>SUM('[1]субсидия'!$C$148:$C$153)</f>
        <v>12885315.33</v>
      </c>
      <c r="U78" s="241"/>
    </row>
    <row r="79" spans="1:21" s="219" customFormat="1" ht="15">
      <c r="A79" s="195">
        <f t="shared" si="20"/>
        <v>47</v>
      </c>
      <c r="B79" s="196" t="s">
        <v>387</v>
      </c>
      <c r="C79" s="197">
        <v>1993</v>
      </c>
      <c r="D79" s="281"/>
      <c r="E79" s="281" t="s">
        <v>183</v>
      </c>
      <c r="F79" s="182">
        <v>9</v>
      </c>
      <c r="G79" s="182">
        <v>3</v>
      </c>
      <c r="H79" s="214">
        <v>3</v>
      </c>
      <c r="I79" s="194">
        <v>6134.2</v>
      </c>
      <c r="J79" s="194">
        <v>5360</v>
      </c>
      <c r="K79" s="194">
        <v>5360</v>
      </c>
      <c r="L79" s="205">
        <v>255</v>
      </c>
      <c r="M79" s="198">
        <f t="shared" si="19"/>
        <v>8377296.1</v>
      </c>
      <c r="N79" s="198">
        <f t="shared" si="17"/>
        <v>5436834.004</v>
      </c>
      <c r="O79" s="198">
        <f t="shared" si="18"/>
        <v>2330071.716</v>
      </c>
      <c r="P79" s="201">
        <v>220390.38</v>
      </c>
      <c r="Q79" s="201">
        <v>390000</v>
      </c>
      <c r="R79" s="199">
        <v>44195</v>
      </c>
      <c r="S79" s="216" t="s">
        <v>184</v>
      </c>
      <c r="T79" s="201">
        <f>SUM('[1]субсидия'!$C$127:$C$129)</f>
        <v>7766905.720000001</v>
      </c>
      <c r="U79" s="241"/>
    </row>
    <row r="80" spans="1:21" s="219" customFormat="1" ht="15">
      <c r="A80" s="195">
        <f t="shared" si="20"/>
        <v>48</v>
      </c>
      <c r="B80" s="196" t="s">
        <v>388</v>
      </c>
      <c r="C80" s="197">
        <v>1994</v>
      </c>
      <c r="D80" s="281"/>
      <c r="E80" s="281" t="s">
        <v>183</v>
      </c>
      <c r="F80" s="182">
        <v>9</v>
      </c>
      <c r="G80" s="182">
        <v>3</v>
      </c>
      <c r="H80" s="214">
        <v>3</v>
      </c>
      <c r="I80" s="194">
        <v>6826</v>
      </c>
      <c r="J80" s="194">
        <v>5929</v>
      </c>
      <c r="K80" s="194">
        <v>5929</v>
      </c>
      <c r="L80" s="205">
        <v>312</v>
      </c>
      <c r="M80" s="198">
        <f t="shared" si="19"/>
        <v>7547965.2700000005</v>
      </c>
      <c r="N80" s="198">
        <f t="shared" si="17"/>
        <v>4856302.423</v>
      </c>
      <c r="O80" s="198">
        <f t="shared" si="18"/>
        <v>2081272.4670000002</v>
      </c>
      <c r="P80" s="201">
        <v>220390.38</v>
      </c>
      <c r="Q80" s="201">
        <v>390000</v>
      </c>
      <c r="R80" s="199">
        <v>44195</v>
      </c>
      <c r="S80" s="216" t="s">
        <v>184</v>
      </c>
      <c r="T80" s="201">
        <f>SUM('[1]субсидия'!$C$154:$C$156)</f>
        <v>6937574.890000001</v>
      </c>
      <c r="U80" s="241">
        <f>T80-N80-O80</f>
        <v>0</v>
      </c>
    </row>
    <row r="81" spans="1:21" s="219" customFormat="1" ht="15">
      <c r="A81" s="195">
        <f t="shared" si="20"/>
        <v>49</v>
      </c>
      <c r="B81" s="196" t="s">
        <v>389</v>
      </c>
      <c r="C81" s="197">
        <v>1988</v>
      </c>
      <c r="D81" s="281"/>
      <c r="E81" s="281" t="s">
        <v>183</v>
      </c>
      <c r="F81" s="182">
        <v>9</v>
      </c>
      <c r="G81" s="182">
        <v>6</v>
      </c>
      <c r="H81" s="214">
        <v>6</v>
      </c>
      <c r="I81" s="194">
        <v>13189.6</v>
      </c>
      <c r="J81" s="194">
        <v>11827.5</v>
      </c>
      <c r="K81" s="194">
        <v>11827.5</v>
      </c>
      <c r="L81" s="205">
        <v>720</v>
      </c>
      <c r="M81" s="198">
        <f t="shared" si="19"/>
        <v>14098740.369999997</v>
      </c>
      <c r="N81" s="198">
        <f t="shared" si="17"/>
        <v>9014571.726999998</v>
      </c>
      <c r="O81" s="198">
        <f t="shared" si="18"/>
        <v>3863387.8829999994</v>
      </c>
      <c r="P81" s="201">
        <v>440780.76</v>
      </c>
      <c r="Q81" s="201">
        <v>780000</v>
      </c>
      <c r="R81" s="199">
        <v>44195</v>
      </c>
      <c r="S81" s="216" t="s">
        <v>184</v>
      </c>
      <c r="T81" s="201">
        <f>SUM('[1]субсидия'!$C$142:$C$147)</f>
        <v>12877959.61</v>
      </c>
      <c r="U81" s="241">
        <f>T81-N81-O81</f>
        <v>0</v>
      </c>
    </row>
    <row r="82" spans="1:21" s="219" customFormat="1" ht="15">
      <c r="A82" s="195">
        <f t="shared" si="20"/>
        <v>50</v>
      </c>
      <c r="B82" s="283" t="s">
        <v>390</v>
      </c>
      <c r="C82" s="197">
        <v>1994</v>
      </c>
      <c r="D82" s="281"/>
      <c r="E82" s="281" t="s">
        <v>183</v>
      </c>
      <c r="F82" s="182">
        <v>10</v>
      </c>
      <c r="G82" s="182">
        <v>3</v>
      </c>
      <c r="H82" s="214">
        <v>3</v>
      </c>
      <c r="I82" s="194">
        <v>6819.7</v>
      </c>
      <c r="J82" s="194">
        <v>5931.84</v>
      </c>
      <c r="K82" s="194">
        <v>5931.84</v>
      </c>
      <c r="L82" s="205">
        <v>294</v>
      </c>
      <c r="M82" s="198">
        <f t="shared" si="19"/>
        <v>8643560.54</v>
      </c>
      <c r="N82" s="198">
        <f t="shared" si="17"/>
        <v>5623219.112</v>
      </c>
      <c r="O82" s="198">
        <f t="shared" si="18"/>
        <v>2409951.048</v>
      </c>
      <c r="P82" s="201">
        <v>220390.38</v>
      </c>
      <c r="Q82" s="201">
        <v>390000</v>
      </c>
      <c r="R82" s="199">
        <v>44195</v>
      </c>
      <c r="S82" s="216" t="s">
        <v>184</v>
      </c>
      <c r="T82" s="201">
        <f>SUM('[1]субсидия'!$C$157:$C$159)</f>
        <v>8033170.16</v>
      </c>
      <c r="U82" s="241"/>
    </row>
    <row r="83" spans="1:21" s="219" customFormat="1" ht="15">
      <c r="A83" s="195">
        <f t="shared" si="20"/>
        <v>51</v>
      </c>
      <c r="B83" s="283" t="s">
        <v>391</v>
      </c>
      <c r="C83" s="197">
        <v>1994</v>
      </c>
      <c r="D83" s="281"/>
      <c r="E83" s="281" t="s">
        <v>183</v>
      </c>
      <c r="F83" s="182">
        <v>10</v>
      </c>
      <c r="G83" s="182">
        <v>3</v>
      </c>
      <c r="H83" s="214">
        <v>3</v>
      </c>
      <c r="I83" s="194">
        <v>7475.8</v>
      </c>
      <c r="J83" s="194">
        <v>6791.5</v>
      </c>
      <c r="K83" s="194">
        <v>6791.5</v>
      </c>
      <c r="L83" s="205">
        <v>331</v>
      </c>
      <c r="M83" s="198">
        <f t="shared" si="19"/>
        <v>8709803.709999999</v>
      </c>
      <c r="N83" s="198">
        <f t="shared" si="17"/>
        <v>5669589.330999999</v>
      </c>
      <c r="O83" s="198">
        <f t="shared" si="18"/>
        <v>2429823.999</v>
      </c>
      <c r="P83" s="201">
        <v>220390.38</v>
      </c>
      <c r="Q83" s="201">
        <v>390000</v>
      </c>
      <c r="R83" s="199">
        <v>44195</v>
      </c>
      <c r="S83" s="216" t="s">
        <v>184</v>
      </c>
      <c r="T83" s="201">
        <f>SUM('[1]субсидия'!$C$160:$C$162)</f>
        <v>8099413.33</v>
      </c>
      <c r="U83" s="241"/>
    </row>
    <row r="84" spans="1:21" s="219" customFormat="1" ht="15">
      <c r="A84" s="195">
        <f t="shared" si="20"/>
        <v>52</v>
      </c>
      <c r="B84" s="196" t="s">
        <v>392</v>
      </c>
      <c r="C84" s="197">
        <v>1994</v>
      </c>
      <c r="D84" s="281"/>
      <c r="E84" s="281" t="s">
        <v>183</v>
      </c>
      <c r="F84" s="182">
        <v>10</v>
      </c>
      <c r="G84" s="182">
        <v>3</v>
      </c>
      <c r="H84" s="214">
        <v>3</v>
      </c>
      <c r="I84" s="194">
        <v>7464.26</v>
      </c>
      <c r="J84" s="194">
        <v>6736.96</v>
      </c>
      <c r="K84" s="194">
        <v>6736.96</v>
      </c>
      <c r="L84" s="205">
        <v>360</v>
      </c>
      <c r="M84" s="198">
        <f t="shared" si="19"/>
        <v>8690472.670000002</v>
      </c>
      <c r="N84" s="198">
        <f t="shared" si="17"/>
        <v>5656057.603</v>
      </c>
      <c r="O84" s="198">
        <f t="shared" si="18"/>
        <v>2424024.6870000004</v>
      </c>
      <c r="P84" s="194">
        <v>220390.38</v>
      </c>
      <c r="Q84" s="194">
        <v>390000</v>
      </c>
      <c r="R84" s="199">
        <v>44195</v>
      </c>
      <c r="S84" s="216" t="s">
        <v>184</v>
      </c>
      <c r="T84" s="201">
        <f>SUM('[1]субсидия'!$C$163:$C$165)</f>
        <v>8080082.290000001</v>
      </c>
      <c r="U84" s="241"/>
    </row>
    <row r="85" spans="1:21" ht="15" customHeight="1">
      <c r="A85" s="370" t="s">
        <v>23</v>
      </c>
      <c r="B85" s="337"/>
      <c r="C85" s="214" t="s">
        <v>261</v>
      </c>
      <c r="D85" s="216" t="s">
        <v>261</v>
      </c>
      <c r="E85" s="216" t="s">
        <v>261</v>
      </c>
      <c r="F85" s="216" t="s">
        <v>261</v>
      </c>
      <c r="G85" s="216" t="s">
        <v>261</v>
      </c>
      <c r="H85" s="179">
        <f>SUM(H70:H84)</f>
        <v>67</v>
      </c>
      <c r="I85" s="198">
        <f aca="true" t="shared" si="21" ref="I85:Q85">SUM(I70:I84)</f>
        <v>153282.26</v>
      </c>
      <c r="J85" s="198">
        <f t="shared" si="21"/>
        <v>135628.3</v>
      </c>
      <c r="K85" s="198">
        <f t="shared" si="21"/>
        <v>135628.3</v>
      </c>
      <c r="L85" s="189">
        <f t="shared" si="21"/>
        <v>6649</v>
      </c>
      <c r="M85" s="198">
        <f t="shared" si="21"/>
        <v>177120071.07</v>
      </c>
      <c r="N85" s="198">
        <f t="shared" si="21"/>
        <v>114441613.475</v>
      </c>
      <c r="O85" s="198">
        <f t="shared" si="21"/>
        <v>49046405.775</v>
      </c>
      <c r="P85" s="198">
        <f t="shared" si="21"/>
        <v>4922051.819999998</v>
      </c>
      <c r="Q85" s="198">
        <f t="shared" si="21"/>
        <v>8710000</v>
      </c>
      <c r="R85" s="216" t="s">
        <v>261</v>
      </c>
      <c r="S85" s="216" t="s">
        <v>261</v>
      </c>
      <c r="T85" s="198">
        <f>SUM(T70:T84)</f>
        <v>163488019.24999997</v>
      </c>
      <c r="U85" s="241">
        <f>T85-N85-O85</f>
        <v>0</v>
      </c>
    </row>
    <row r="86" spans="1:22" ht="15" customHeight="1">
      <c r="A86" s="341" t="s">
        <v>25</v>
      </c>
      <c r="B86" s="342"/>
      <c r="C86" s="206" t="s">
        <v>261</v>
      </c>
      <c r="D86" s="207" t="s">
        <v>261</v>
      </c>
      <c r="E86" s="207" t="s">
        <v>261</v>
      </c>
      <c r="F86" s="207" t="s">
        <v>261</v>
      </c>
      <c r="G86" s="206" t="s">
        <v>261</v>
      </c>
      <c r="H86" s="209">
        <f>H85+H68+H54+H50</f>
        <v>181</v>
      </c>
      <c r="I86" s="208">
        <f aca="true" t="shared" si="22" ref="I86:Q86">I85+I68+I54+I50</f>
        <v>429301.57999999996</v>
      </c>
      <c r="J86" s="208">
        <f t="shared" si="22"/>
        <v>378538.81999999995</v>
      </c>
      <c r="K86" s="208">
        <f t="shared" si="22"/>
        <v>273457.42</v>
      </c>
      <c r="L86" s="209">
        <f t="shared" si="22"/>
        <v>16746</v>
      </c>
      <c r="M86" s="208">
        <f t="shared" si="22"/>
        <v>497626223.15</v>
      </c>
      <c r="N86" s="208">
        <f t="shared" si="22"/>
        <v>322559535.82299995</v>
      </c>
      <c r="O86" s="208">
        <f t="shared" si="22"/>
        <v>138239801.06699997</v>
      </c>
      <c r="P86" s="208">
        <f t="shared" si="22"/>
        <v>13296886.259999998</v>
      </c>
      <c r="Q86" s="208">
        <f t="shared" si="22"/>
        <v>23530000</v>
      </c>
      <c r="R86" s="207" t="s">
        <v>261</v>
      </c>
      <c r="S86" s="207" t="s">
        <v>261</v>
      </c>
      <c r="T86" s="198">
        <f>T85+T68+T54+T50</f>
        <v>460799336.89</v>
      </c>
      <c r="U86" s="241">
        <f>T86-N86-O86</f>
        <v>0</v>
      </c>
      <c r="V86" s="254"/>
    </row>
    <row r="87" spans="1:21" ht="15" customHeight="1">
      <c r="A87" s="387" t="s">
        <v>403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9"/>
      <c r="T87" s="198"/>
      <c r="U87" s="241"/>
    </row>
    <row r="88" spans="1:21" ht="15" customHeight="1">
      <c r="A88" s="249" t="s">
        <v>455</v>
      </c>
      <c r="B88" s="213"/>
      <c r="C88" s="214"/>
      <c r="D88" s="216"/>
      <c r="E88" s="216"/>
      <c r="F88" s="216"/>
      <c r="G88" s="214"/>
      <c r="H88" s="179"/>
      <c r="I88" s="208"/>
      <c r="J88" s="208"/>
      <c r="K88" s="208"/>
      <c r="L88" s="209"/>
      <c r="M88" s="208"/>
      <c r="N88" s="208"/>
      <c r="O88" s="208"/>
      <c r="P88" s="208"/>
      <c r="Q88" s="208"/>
      <c r="R88" s="207"/>
      <c r="S88" s="207"/>
      <c r="T88" s="198"/>
      <c r="U88" s="241"/>
    </row>
    <row r="89" spans="1:21" ht="15" customHeight="1">
      <c r="A89" s="195">
        <f>A84+1</f>
        <v>53</v>
      </c>
      <c r="B89" s="284" t="s">
        <v>404</v>
      </c>
      <c r="C89" s="245">
        <v>1994</v>
      </c>
      <c r="D89" s="216"/>
      <c r="E89" s="216" t="s">
        <v>451</v>
      </c>
      <c r="F89" s="216">
        <v>9</v>
      </c>
      <c r="G89" s="214">
        <v>1</v>
      </c>
      <c r="H89" s="179">
        <v>1</v>
      </c>
      <c r="I89" s="198">
        <v>2490.5</v>
      </c>
      <c r="J89" s="198">
        <v>2490.5</v>
      </c>
      <c r="K89" s="198">
        <v>2490.5</v>
      </c>
      <c r="L89" s="179">
        <v>73</v>
      </c>
      <c r="M89" s="198">
        <f aca="true" t="shared" si="23" ref="M89:M107">N89+O89+P89+Q89</f>
        <v>2709810.57</v>
      </c>
      <c r="N89" s="198">
        <v>1763395.21</v>
      </c>
      <c r="O89" s="198">
        <v>755740.8</v>
      </c>
      <c r="P89" s="198">
        <v>60674.56</v>
      </c>
      <c r="Q89" s="198">
        <v>130000</v>
      </c>
      <c r="R89" s="199">
        <v>44195</v>
      </c>
      <c r="S89" s="216" t="s">
        <v>184</v>
      </c>
      <c r="T89" s="198"/>
      <c r="U89" s="241"/>
    </row>
    <row r="90" spans="1:21" ht="15" customHeight="1">
      <c r="A90" s="195">
        <f>A89+1</f>
        <v>54</v>
      </c>
      <c r="B90" s="196" t="s">
        <v>405</v>
      </c>
      <c r="C90" s="245">
        <v>1993</v>
      </c>
      <c r="D90" s="285"/>
      <c r="E90" s="286" t="s">
        <v>456</v>
      </c>
      <c r="F90" s="285">
        <v>9</v>
      </c>
      <c r="G90" s="287">
        <v>1</v>
      </c>
      <c r="H90" s="285">
        <v>1</v>
      </c>
      <c r="I90" s="288">
        <v>1568.6</v>
      </c>
      <c r="J90" s="288">
        <v>1568.6</v>
      </c>
      <c r="K90" s="288">
        <v>1464</v>
      </c>
      <c r="L90" s="289">
        <v>91</v>
      </c>
      <c r="M90" s="198">
        <f t="shared" si="23"/>
        <v>2767218.21</v>
      </c>
      <c r="N90" s="198">
        <v>1800932.38</v>
      </c>
      <c r="O90" s="198">
        <v>771828.16</v>
      </c>
      <c r="P90" s="198">
        <v>64457.67</v>
      </c>
      <c r="Q90" s="198">
        <v>130000</v>
      </c>
      <c r="R90" s="199">
        <v>44195</v>
      </c>
      <c r="S90" s="216" t="s">
        <v>184</v>
      </c>
      <c r="T90" s="198"/>
      <c r="U90" s="241"/>
    </row>
    <row r="91" spans="1:21" ht="15" customHeight="1">
      <c r="A91" s="195">
        <f aca="true" t="shared" si="24" ref="A91:A98">A90+1</f>
        <v>55</v>
      </c>
      <c r="B91" s="196" t="s">
        <v>407</v>
      </c>
      <c r="C91" s="245">
        <v>1993</v>
      </c>
      <c r="D91" s="285"/>
      <c r="E91" s="290" t="s">
        <v>457</v>
      </c>
      <c r="F91" s="285">
        <v>9</v>
      </c>
      <c r="G91" s="287">
        <v>2</v>
      </c>
      <c r="H91" s="285">
        <v>2</v>
      </c>
      <c r="I91" s="291">
        <v>4017.1</v>
      </c>
      <c r="J91" s="291">
        <v>4017.1</v>
      </c>
      <c r="K91" s="291">
        <v>3842.1</v>
      </c>
      <c r="L91" s="285">
        <v>163</v>
      </c>
      <c r="M91" s="198">
        <f t="shared" si="23"/>
        <v>5410705.3100000005</v>
      </c>
      <c r="N91" s="198">
        <v>3520549.33</v>
      </c>
      <c r="O91" s="198">
        <v>1508806.86</v>
      </c>
      <c r="P91" s="198">
        <v>121349.12</v>
      </c>
      <c r="Q91" s="198">
        <v>260000</v>
      </c>
      <c r="R91" s="199">
        <v>44195</v>
      </c>
      <c r="S91" s="216" t="s">
        <v>184</v>
      </c>
      <c r="T91" s="198"/>
      <c r="U91" s="241"/>
    </row>
    <row r="92" spans="1:21" ht="15" customHeight="1">
      <c r="A92" s="195">
        <f t="shared" si="24"/>
        <v>56</v>
      </c>
      <c r="B92" s="196" t="s">
        <v>406</v>
      </c>
      <c r="C92" s="245">
        <v>1990</v>
      </c>
      <c r="D92" s="285"/>
      <c r="E92" s="290" t="s">
        <v>457</v>
      </c>
      <c r="F92" s="285">
        <v>9</v>
      </c>
      <c r="G92" s="287">
        <v>4</v>
      </c>
      <c r="H92" s="285">
        <v>4</v>
      </c>
      <c r="I92" s="291">
        <v>6372</v>
      </c>
      <c r="J92" s="291">
        <v>6372</v>
      </c>
      <c r="K92" s="291">
        <v>5572.7</v>
      </c>
      <c r="L92" s="285">
        <v>239</v>
      </c>
      <c r="M92" s="198">
        <f t="shared" si="23"/>
        <v>10364489.32</v>
      </c>
      <c r="N92" s="292">
        <v>6734494.62</v>
      </c>
      <c r="O92" s="292">
        <v>2886211.98</v>
      </c>
      <c r="P92" s="194">
        <v>223782.72</v>
      </c>
      <c r="Q92" s="198">
        <v>520000</v>
      </c>
      <c r="R92" s="199">
        <v>44195</v>
      </c>
      <c r="S92" s="216" t="s">
        <v>184</v>
      </c>
      <c r="T92" s="198"/>
      <c r="U92" s="241"/>
    </row>
    <row r="93" spans="1:21" ht="15" customHeight="1">
      <c r="A93" s="195">
        <f t="shared" si="24"/>
        <v>57</v>
      </c>
      <c r="B93" s="196" t="s">
        <v>408</v>
      </c>
      <c r="C93" s="245">
        <v>1994</v>
      </c>
      <c r="D93" s="285"/>
      <c r="E93" s="290" t="s">
        <v>457</v>
      </c>
      <c r="F93" s="285">
        <v>9</v>
      </c>
      <c r="G93" s="287">
        <v>2</v>
      </c>
      <c r="H93" s="285">
        <v>2</v>
      </c>
      <c r="I93" s="291">
        <v>3968.5</v>
      </c>
      <c r="J93" s="291">
        <v>3968.5</v>
      </c>
      <c r="K93" s="291">
        <v>3339.9</v>
      </c>
      <c r="L93" s="285">
        <v>169</v>
      </c>
      <c r="M93" s="180">
        <f t="shared" si="23"/>
        <v>5416172.79</v>
      </c>
      <c r="N93" s="292">
        <v>3524376.56</v>
      </c>
      <c r="O93" s="292">
        <v>1510447.11</v>
      </c>
      <c r="P93" s="293">
        <v>121349.12</v>
      </c>
      <c r="Q93" s="198">
        <v>260000</v>
      </c>
      <c r="R93" s="199">
        <v>44195</v>
      </c>
      <c r="S93" s="216" t="s">
        <v>184</v>
      </c>
      <c r="T93" s="198"/>
      <c r="U93" s="241"/>
    </row>
    <row r="94" spans="1:21" ht="15" customHeight="1">
      <c r="A94" s="195">
        <f t="shared" si="24"/>
        <v>58</v>
      </c>
      <c r="B94" s="196" t="s">
        <v>409</v>
      </c>
      <c r="C94" s="245">
        <v>1994</v>
      </c>
      <c r="D94" s="285"/>
      <c r="E94" s="285" t="s">
        <v>186</v>
      </c>
      <c r="F94" s="285">
        <v>9</v>
      </c>
      <c r="G94" s="287">
        <v>2</v>
      </c>
      <c r="H94" s="285">
        <v>2</v>
      </c>
      <c r="I94" s="291">
        <v>3229.6</v>
      </c>
      <c r="J94" s="291">
        <v>3229.6</v>
      </c>
      <c r="K94" s="291">
        <v>3011.1</v>
      </c>
      <c r="L94" s="285">
        <v>94</v>
      </c>
      <c r="M94" s="180">
        <f t="shared" si="23"/>
        <v>5507527.58</v>
      </c>
      <c r="N94" s="292">
        <v>3583028.56</v>
      </c>
      <c r="O94" s="292">
        <v>1535583.68</v>
      </c>
      <c r="P94" s="294">
        <v>128915.34</v>
      </c>
      <c r="Q94" s="295">
        <v>260000</v>
      </c>
      <c r="R94" s="199">
        <v>44195</v>
      </c>
      <c r="S94" s="216" t="s">
        <v>184</v>
      </c>
      <c r="T94" s="198"/>
      <c r="U94" s="241"/>
    </row>
    <row r="95" spans="1:21" ht="30" customHeight="1">
      <c r="A95" s="195">
        <f t="shared" si="24"/>
        <v>59</v>
      </c>
      <c r="B95" s="196" t="s">
        <v>410</v>
      </c>
      <c r="C95" s="245">
        <v>1934</v>
      </c>
      <c r="D95" s="286"/>
      <c r="E95" s="296" t="s">
        <v>458</v>
      </c>
      <c r="F95" s="285" t="s">
        <v>459</v>
      </c>
      <c r="G95" s="287">
        <v>3</v>
      </c>
      <c r="H95" s="285">
        <v>1</v>
      </c>
      <c r="I95" s="288">
        <v>5809.49</v>
      </c>
      <c r="J95" s="297">
        <v>2865.55</v>
      </c>
      <c r="K95" s="291">
        <v>5585.42</v>
      </c>
      <c r="L95" s="285">
        <v>167</v>
      </c>
      <c r="M95" s="180">
        <f t="shared" si="23"/>
        <v>2663513.63</v>
      </c>
      <c r="N95" s="292">
        <v>1733434.4</v>
      </c>
      <c r="O95" s="292">
        <v>742900.46</v>
      </c>
      <c r="P95" s="298">
        <v>57178.77</v>
      </c>
      <c r="Q95" s="198">
        <v>130000</v>
      </c>
      <c r="R95" s="199">
        <v>44195</v>
      </c>
      <c r="S95" s="216" t="s">
        <v>184</v>
      </c>
      <c r="T95" s="198"/>
      <c r="U95" s="241"/>
    </row>
    <row r="96" spans="1:21" ht="15" customHeight="1">
      <c r="A96" s="195">
        <f t="shared" si="24"/>
        <v>60</v>
      </c>
      <c r="B96" s="196" t="s">
        <v>411</v>
      </c>
      <c r="C96" s="245">
        <v>1989</v>
      </c>
      <c r="D96" s="286"/>
      <c r="E96" s="290" t="s">
        <v>457</v>
      </c>
      <c r="F96" s="285">
        <v>9</v>
      </c>
      <c r="G96" s="287">
        <v>1</v>
      </c>
      <c r="H96" s="285">
        <v>1</v>
      </c>
      <c r="I96" s="291">
        <v>2002.3</v>
      </c>
      <c r="J96" s="291">
        <v>2002.3</v>
      </c>
      <c r="K96" s="291">
        <v>1850.9</v>
      </c>
      <c r="L96" s="285">
        <v>85</v>
      </c>
      <c r="M96" s="180">
        <f>N96+O96+P96+Q96</f>
        <v>2455637.93</v>
      </c>
      <c r="N96" s="292">
        <v>1585259.86</v>
      </c>
      <c r="O96" s="292">
        <v>679397.08</v>
      </c>
      <c r="P96" s="299">
        <v>60980.99</v>
      </c>
      <c r="Q96" s="198">
        <v>130000</v>
      </c>
      <c r="R96" s="199">
        <v>44195</v>
      </c>
      <c r="S96" s="216" t="s">
        <v>184</v>
      </c>
      <c r="T96" s="198"/>
      <c r="U96" s="241"/>
    </row>
    <row r="97" spans="1:21" ht="15" customHeight="1">
      <c r="A97" s="195">
        <f t="shared" si="24"/>
        <v>61</v>
      </c>
      <c r="B97" s="196" t="s">
        <v>412</v>
      </c>
      <c r="C97" s="245">
        <v>1990</v>
      </c>
      <c r="D97" s="286"/>
      <c r="E97" s="286" t="s">
        <v>186</v>
      </c>
      <c r="F97" s="285">
        <v>9</v>
      </c>
      <c r="G97" s="287">
        <v>2</v>
      </c>
      <c r="H97" s="285">
        <v>2</v>
      </c>
      <c r="I97" s="291">
        <v>4036.8</v>
      </c>
      <c r="J97" s="291">
        <v>4036.8</v>
      </c>
      <c r="K97" s="291">
        <v>3502.6</v>
      </c>
      <c r="L97" s="285">
        <v>173</v>
      </c>
      <c r="M97" s="180">
        <f t="shared" si="23"/>
        <v>4945403.220000001</v>
      </c>
      <c r="N97" s="292">
        <v>3194408.87</v>
      </c>
      <c r="O97" s="292">
        <v>1369032.37</v>
      </c>
      <c r="P97" s="298">
        <v>121961.98</v>
      </c>
      <c r="Q97" s="198">
        <v>260000</v>
      </c>
      <c r="R97" s="199">
        <v>44195</v>
      </c>
      <c r="S97" s="216" t="s">
        <v>184</v>
      </c>
      <c r="T97" s="198"/>
      <c r="U97" s="241"/>
    </row>
    <row r="98" spans="1:21" ht="15" customHeight="1">
      <c r="A98" s="195">
        <f t="shared" si="24"/>
        <v>62</v>
      </c>
      <c r="B98" s="196" t="s">
        <v>413</v>
      </c>
      <c r="C98" s="245">
        <v>1995</v>
      </c>
      <c r="D98" s="286"/>
      <c r="E98" s="286" t="s">
        <v>186</v>
      </c>
      <c r="F98" s="285">
        <v>9</v>
      </c>
      <c r="G98" s="287">
        <v>2</v>
      </c>
      <c r="H98" s="285">
        <v>2</v>
      </c>
      <c r="I98" s="291">
        <v>4031.34</v>
      </c>
      <c r="J98" s="291">
        <v>4031.34</v>
      </c>
      <c r="K98" s="291">
        <v>3919.44</v>
      </c>
      <c r="L98" s="285">
        <v>165</v>
      </c>
      <c r="M98" s="180">
        <f>N98+O98+P98+Q98</f>
        <v>4940382.090000001</v>
      </c>
      <c r="N98" s="292">
        <v>3190894.08</v>
      </c>
      <c r="O98" s="292">
        <v>1367526.03</v>
      </c>
      <c r="P98" s="298">
        <v>121961.98</v>
      </c>
      <c r="Q98" s="198">
        <v>260000</v>
      </c>
      <c r="R98" s="199">
        <v>44195</v>
      </c>
      <c r="S98" s="216" t="s">
        <v>184</v>
      </c>
      <c r="T98" s="198"/>
      <c r="U98" s="241"/>
    </row>
    <row r="99" spans="1:21" ht="15" customHeight="1">
      <c r="A99" s="370" t="s">
        <v>23</v>
      </c>
      <c r="B99" s="337"/>
      <c r="C99" s="214" t="s">
        <v>261</v>
      </c>
      <c r="D99" s="216" t="s">
        <v>261</v>
      </c>
      <c r="E99" s="216" t="s">
        <v>261</v>
      </c>
      <c r="F99" s="216" t="s">
        <v>261</v>
      </c>
      <c r="G99" s="216" t="s">
        <v>261</v>
      </c>
      <c r="H99" s="179">
        <f>SUM(H89:H98)</f>
        <v>18</v>
      </c>
      <c r="I99" s="179">
        <f aca="true" t="shared" si="25" ref="I99:Q99">SUM(I89:I98)</f>
        <v>37526.229999999996</v>
      </c>
      <c r="J99" s="179">
        <f t="shared" si="25"/>
        <v>34582.28999999999</v>
      </c>
      <c r="K99" s="179">
        <f t="shared" si="25"/>
        <v>34578.66</v>
      </c>
      <c r="L99" s="179">
        <f t="shared" si="25"/>
        <v>1419</v>
      </c>
      <c r="M99" s="180">
        <f>SUM(M89:M98)</f>
        <v>47180860.650000006</v>
      </c>
      <c r="N99" s="198">
        <f t="shared" si="25"/>
        <v>30630773.869999997</v>
      </c>
      <c r="O99" s="198">
        <f t="shared" si="25"/>
        <v>13127474.53</v>
      </c>
      <c r="P99" s="298">
        <f t="shared" si="25"/>
        <v>1082612.25</v>
      </c>
      <c r="Q99" s="198">
        <f t="shared" si="25"/>
        <v>2340000</v>
      </c>
      <c r="R99" s="216" t="s">
        <v>261</v>
      </c>
      <c r="S99" s="216" t="s">
        <v>261</v>
      </c>
      <c r="T99" s="198">
        <f>SUM(T84:T98)</f>
        <v>632367438.43</v>
      </c>
      <c r="U99" s="241">
        <f>T99-N99-O99</f>
        <v>588609190.03</v>
      </c>
    </row>
    <row r="100" spans="1:21" ht="15" customHeight="1">
      <c r="A100" s="341" t="s">
        <v>27</v>
      </c>
      <c r="B100" s="342"/>
      <c r="C100" s="206" t="s">
        <v>261</v>
      </c>
      <c r="D100" s="207" t="s">
        <v>261</v>
      </c>
      <c r="E100" s="207" t="s">
        <v>261</v>
      </c>
      <c r="F100" s="207" t="s">
        <v>261</v>
      </c>
      <c r="G100" s="206" t="s">
        <v>261</v>
      </c>
      <c r="H100" s="209">
        <f aca="true" t="shared" si="26" ref="H100:Q100">H99</f>
        <v>18</v>
      </c>
      <c r="I100" s="208">
        <f t="shared" si="26"/>
        <v>37526.229999999996</v>
      </c>
      <c r="J100" s="208">
        <f t="shared" si="26"/>
        <v>34582.28999999999</v>
      </c>
      <c r="K100" s="208">
        <f t="shared" si="26"/>
        <v>34578.66</v>
      </c>
      <c r="L100" s="209">
        <f t="shared" si="26"/>
        <v>1419</v>
      </c>
      <c r="M100" s="178">
        <f t="shared" si="26"/>
        <v>47180860.650000006</v>
      </c>
      <c r="N100" s="208">
        <f t="shared" si="26"/>
        <v>30630773.869999997</v>
      </c>
      <c r="O100" s="208">
        <f t="shared" si="26"/>
        <v>13127474.53</v>
      </c>
      <c r="P100" s="300">
        <f t="shared" si="26"/>
        <v>1082612.25</v>
      </c>
      <c r="Q100" s="208">
        <f t="shared" si="26"/>
        <v>2340000</v>
      </c>
      <c r="R100" s="207" t="s">
        <v>261</v>
      </c>
      <c r="S100" s="207" t="s">
        <v>261</v>
      </c>
      <c r="T100" s="198">
        <f>T99+T82+T68+T64</f>
        <v>816806628.68</v>
      </c>
      <c r="U100" s="241">
        <f>T100-N100-O100</f>
        <v>773048380.28</v>
      </c>
    </row>
    <row r="101" spans="1:21" ht="15" customHeight="1">
      <c r="A101" s="387" t="s">
        <v>414</v>
      </c>
      <c r="B101" s="388"/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9"/>
      <c r="T101" s="198"/>
      <c r="U101" s="241"/>
    </row>
    <row r="102" spans="1:21" ht="15" customHeight="1">
      <c r="A102" s="249" t="s">
        <v>453</v>
      </c>
      <c r="B102" s="213"/>
      <c r="C102" s="214"/>
      <c r="D102" s="216"/>
      <c r="E102" s="216"/>
      <c r="F102" s="216"/>
      <c r="G102" s="214"/>
      <c r="H102" s="179"/>
      <c r="I102" s="208"/>
      <c r="J102" s="208"/>
      <c r="K102" s="208"/>
      <c r="L102" s="209"/>
      <c r="M102" s="180"/>
      <c r="N102" s="208"/>
      <c r="O102" s="208"/>
      <c r="P102" s="300"/>
      <c r="Q102" s="208"/>
      <c r="R102" s="207"/>
      <c r="S102" s="207"/>
      <c r="T102" s="198"/>
      <c r="U102" s="241"/>
    </row>
    <row r="103" spans="1:21" ht="15" customHeight="1">
      <c r="A103" s="195">
        <f>A98+1</f>
        <v>63</v>
      </c>
      <c r="B103" s="196" t="s">
        <v>415</v>
      </c>
      <c r="C103" s="301">
        <v>1989</v>
      </c>
      <c r="D103" s="182"/>
      <c r="E103" s="282" t="s">
        <v>183</v>
      </c>
      <c r="F103" s="182">
        <v>9</v>
      </c>
      <c r="G103" s="205">
        <v>2</v>
      </c>
      <c r="H103" s="182">
        <v>2</v>
      </c>
      <c r="I103" s="194">
        <v>6121.3</v>
      </c>
      <c r="J103" s="194">
        <v>4041.4</v>
      </c>
      <c r="K103" s="194">
        <v>3953.1</v>
      </c>
      <c r="L103" s="182">
        <v>189</v>
      </c>
      <c r="M103" s="198">
        <f t="shared" si="23"/>
        <v>5467384.59</v>
      </c>
      <c r="N103" s="292">
        <v>3542320.37</v>
      </c>
      <c r="O103" s="292">
        <v>1518137.3</v>
      </c>
      <c r="P103" s="198">
        <v>146926.92</v>
      </c>
      <c r="Q103" s="198">
        <v>260000</v>
      </c>
      <c r="R103" s="199">
        <v>44195</v>
      </c>
      <c r="S103" s="216" t="s">
        <v>184</v>
      </c>
      <c r="T103" s="198"/>
      <c r="U103" s="241"/>
    </row>
    <row r="104" spans="1:21" ht="15" customHeight="1">
      <c r="A104" s="195">
        <f>A103+1</f>
        <v>64</v>
      </c>
      <c r="B104" s="196" t="s">
        <v>416</v>
      </c>
      <c r="C104" s="301">
        <v>1990</v>
      </c>
      <c r="D104" s="182"/>
      <c r="E104" s="282" t="s">
        <v>183</v>
      </c>
      <c r="F104" s="182">
        <v>9</v>
      </c>
      <c r="G104" s="205">
        <v>2</v>
      </c>
      <c r="H104" s="182">
        <v>2</v>
      </c>
      <c r="I104" s="194">
        <v>5784.3</v>
      </c>
      <c r="J104" s="194">
        <v>4017.3</v>
      </c>
      <c r="K104" s="194">
        <v>3925</v>
      </c>
      <c r="L104" s="182">
        <v>203</v>
      </c>
      <c r="M104" s="198">
        <f t="shared" si="23"/>
        <v>5440054.109999999</v>
      </c>
      <c r="N104" s="292">
        <v>3523189.03</v>
      </c>
      <c r="O104" s="292">
        <v>1509938.16</v>
      </c>
      <c r="P104" s="198">
        <v>146926.92</v>
      </c>
      <c r="Q104" s="198">
        <v>260000</v>
      </c>
      <c r="R104" s="199">
        <v>44195</v>
      </c>
      <c r="S104" s="216" t="s">
        <v>184</v>
      </c>
      <c r="T104" s="198"/>
      <c r="U104" s="241"/>
    </row>
    <row r="105" spans="1:21" ht="15" customHeight="1">
      <c r="A105" s="195">
        <f>A104+1</f>
        <v>65</v>
      </c>
      <c r="B105" s="196" t="s">
        <v>417</v>
      </c>
      <c r="C105" s="301">
        <v>1991</v>
      </c>
      <c r="D105" s="182"/>
      <c r="E105" s="282" t="s">
        <v>183</v>
      </c>
      <c r="F105" s="182">
        <v>9</v>
      </c>
      <c r="G105" s="205">
        <v>2</v>
      </c>
      <c r="H105" s="182">
        <v>2</v>
      </c>
      <c r="I105" s="194">
        <v>5859.5</v>
      </c>
      <c r="J105" s="194">
        <v>3957.3</v>
      </c>
      <c r="K105" s="194">
        <v>3611.3</v>
      </c>
      <c r="L105" s="182">
        <v>192</v>
      </c>
      <c r="M105" s="198">
        <f t="shared" si="23"/>
        <v>5467206.13</v>
      </c>
      <c r="N105" s="292">
        <v>3542195.45</v>
      </c>
      <c r="O105" s="292">
        <v>1518083.76</v>
      </c>
      <c r="P105" s="198">
        <v>146926.92</v>
      </c>
      <c r="Q105" s="198">
        <v>260000</v>
      </c>
      <c r="R105" s="199">
        <v>44195</v>
      </c>
      <c r="S105" s="216" t="s">
        <v>184</v>
      </c>
      <c r="T105" s="198"/>
      <c r="U105" s="241"/>
    </row>
    <row r="106" spans="1:21" ht="15" customHeight="1">
      <c r="A106" s="195">
        <f>A105+1</f>
        <v>66</v>
      </c>
      <c r="B106" s="196" t="s">
        <v>418</v>
      </c>
      <c r="C106" s="301">
        <v>1989</v>
      </c>
      <c r="D106" s="182"/>
      <c r="E106" s="282" t="s">
        <v>183</v>
      </c>
      <c r="F106" s="182">
        <v>9</v>
      </c>
      <c r="G106" s="205">
        <v>2</v>
      </c>
      <c r="H106" s="182">
        <v>2</v>
      </c>
      <c r="I106" s="194">
        <v>5953.3</v>
      </c>
      <c r="J106" s="194">
        <v>3980</v>
      </c>
      <c r="K106" s="194">
        <v>3782.5</v>
      </c>
      <c r="L106" s="182">
        <v>203</v>
      </c>
      <c r="M106" s="198">
        <f t="shared" si="23"/>
        <v>5466365</v>
      </c>
      <c r="N106" s="292">
        <v>3541606.66</v>
      </c>
      <c r="O106" s="292">
        <v>1517831.42</v>
      </c>
      <c r="P106" s="198">
        <v>146926.92</v>
      </c>
      <c r="Q106" s="198">
        <v>260000</v>
      </c>
      <c r="R106" s="199">
        <v>44195</v>
      </c>
      <c r="S106" s="216" t="s">
        <v>184</v>
      </c>
      <c r="T106" s="198"/>
      <c r="U106" s="241"/>
    </row>
    <row r="107" spans="1:21" ht="15" customHeight="1">
      <c r="A107" s="195">
        <f>A106+1</f>
        <v>67</v>
      </c>
      <c r="B107" s="196" t="s">
        <v>419</v>
      </c>
      <c r="C107" s="301" t="s">
        <v>460</v>
      </c>
      <c r="D107" s="182"/>
      <c r="E107" s="282" t="s">
        <v>183</v>
      </c>
      <c r="F107" s="182">
        <v>7</v>
      </c>
      <c r="G107" s="205">
        <v>2</v>
      </c>
      <c r="H107" s="182">
        <v>2</v>
      </c>
      <c r="I107" s="194">
        <v>5070.5</v>
      </c>
      <c r="J107" s="194">
        <v>3137</v>
      </c>
      <c r="K107" s="194">
        <v>3081.9</v>
      </c>
      <c r="L107" s="182">
        <v>158</v>
      </c>
      <c r="M107" s="198">
        <f t="shared" si="23"/>
        <v>5177706.77</v>
      </c>
      <c r="N107" s="292">
        <v>3339545.89</v>
      </c>
      <c r="O107" s="292">
        <v>1431233.96</v>
      </c>
      <c r="P107" s="198">
        <v>146926.92</v>
      </c>
      <c r="Q107" s="198">
        <v>260000</v>
      </c>
      <c r="R107" s="199">
        <v>44195</v>
      </c>
      <c r="S107" s="216" t="s">
        <v>184</v>
      </c>
      <c r="T107" s="198"/>
      <c r="U107" s="241"/>
    </row>
    <row r="108" spans="1:21" ht="15" customHeight="1">
      <c r="A108" s="370" t="s">
        <v>23</v>
      </c>
      <c r="B108" s="337"/>
      <c r="C108" s="214" t="s">
        <v>261</v>
      </c>
      <c r="D108" s="216" t="s">
        <v>261</v>
      </c>
      <c r="E108" s="216" t="s">
        <v>261</v>
      </c>
      <c r="F108" s="216" t="s">
        <v>261</v>
      </c>
      <c r="G108" s="216" t="s">
        <v>261</v>
      </c>
      <c r="H108" s="179">
        <f aca="true" t="shared" si="27" ref="H108:Q108">SUM(H103:H107)</f>
        <v>10</v>
      </c>
      <c r="I108" s="198">
        <f t="shared" si="27"/>
        <v>28788.899999999998</v>
      </c>
      <c r="J108" s="198">
        <f t="shared" si="27"/>
        <v>19133</v>
      </c>
      <c r="K108" s="198">
        <f t="shared" si="27"/>
        <v>18353.800000000003</v>
      </c>
      <c r="L108" s="179">
        <f t="shared" si="27"/>
        <v>945</v>
      </c>
      <c r="M108" s="302">
        <f t="shared" si="27"/>
        <v>27018716.599999998</v>
      </c>
      <c r="N108" s="302">
        <f t="shared" si="27"/>
        <v>17488857.400000002</v>
      </c>
      <c r="O108" s="302">
        <f t="shared" si="27"/>
        <v>7495224.6</v>
      </c>
      <c r="P108" s="302">
        <f t="shared" si="27"/>
        <v>734634.6000000001</v>
      </c>
      <c r="Q108" s="302">
        <f t="shared" si="27"/>
        <v>1300000</v>
      </c>
      <c r="R108" s="199">
        <v>44195</v>
      </c>
      <c r="S108" s="216" t="s">
        <v>184</v>
      </c>
      <c r="T108" s="198">
        <f>SUM(T93:T107)</f>
        <v>1449174067.11</v>
      </c>
      <c r="U108" s="241">
        <f>T108-N108-O108</f>
        <v>1424189985.11</v>
      </c>
    </row>
    <row r="109" spans="1:21" ht="15" customHeight="1">
      <c r="A109" s="341" t="s">
        <v>420</v>
      </c>
      <c r="B109" s="342"/>
      <c r="C109" s="206" t="s">
        <v>261</v>
      </c>
      <c r="D109" s="207" t="s">
        <v>261</v>
      </c>
      <c r="E109" s="207" t="s">
        <v>261</v>
      </c>
      <c r="F109" s="207" t="s">
        <v>261</v>
      </c>
      <c r="G109" s="206" t="s">
        <v>261</v>
      </c>
      <c r="H109" s="208">
        <f aca="true" t="shared" si="28" ref="H109:Q109">H108</f>
        <v>10</v>
      </c>
      <c r="I109" s="208">
        <f t="shared" si="28"/>
        <v>28788.899999999998</v>
      </c>
      <c r="J109" s="208">
        <f t="shared" si="28"/>
        <v>19133</v>
      </c>
      <c r="K109" s="208">
        <f t="shared" si="28"/>
        <v>18353.800000000003</v>
      </c>
      <c r="L109" s="209">
        <f t="shared" si="28"/>
        <v>945</v>
      </c>
      <c r="M109" s="178">
        <f t="shared" si="28"/>
        <v>27018716.599999998</v>
      </c>
      <c r="N109" s="208">
        <f t="shared" si="28"/>
        <v>17488857.400000002</v>
      </c>
      <c r="O109" s="208">
        <f t="shared" si="28"/>
        <v>7495224.6</v>
      </c>
      <c r="P109" s="300">
        <f t="shared" si="28"/>
        <v>734634.6000000001</v>
      </c>
      <c r="Q109" s="208">
        <f t="shared" si="28"/>
        <v>1300000</v>
      </c>
      <c r="R109" s="207" t="s">
        <v>261</v>
      </c>
      <c r="S109" s="207" t="s">
        <v>261</v>
      </c>
      <c r="T109" s="198">
        <f>T108+T91+T77+T73</f>
        <v>1471348730.3999999</v>
      </c>
      <c r="U109" s="241">
        <f>T109-N109-O109</f>
        <v>1446364648.3999999</v>
      </c>
    </row>
    <row r="110" spans="1:21" ht="15" customHeight="1">
      <c r="A110" s="387" t="s">
        <v>31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9"/>
      <c r="T110" s="198"/>
      <c r="U110" s="241"/>
    </row>
    <row r="111" spans="1:21" ht="15" customHeight="1">
      <c r="A111" s="249" t="s">
        <v>32</v>
      </c>
      <c r="B111" s="213"/>
      <c r="C111" s="214"/>
      <c r="D111" s="216"/>
      <c r="E111" s="216"/>
      <c r="F111" s="216"/>
      <c r="G111" s="214"/>
      <c r="H111" s="209"/>
      <c r="I111" s="208"/>
      <c r="J111" s="208"/>
      <c r="K111" s="208"/>
      <c r="L111" s="209"/>
      <c r="M111" s="198"/>
      <c r="N111" s="198"/>
      <c r="O111" s="198"/>
      <c r="P111" s="198"/>
      <c r="Q111" s="198"/>
      <c r="R111" s="207"/>
      <c r="S111" s="207"/>
      <c r="T111" s="198"/>
      <c r="U111" s="241"/>
    </row>
    <row r="112" spans="1:21" ht="15" customHeight="1">
      <c r="A112" s="195">
        <f>A107+1</f>
        <v>68</v>
      </c>
      <c r="B112" s="196" t="s">
        <v>421</v>
      </c>
      <c r="C112" s="197">
        <v>1992</v>
      </c>
      <c r="D112" s="281"/>
      <c r="E112" s="203" t="s">
        <v>190</v>
      </c>
      <c r="F112" s="182">
        <v>9</v>
      </c>
      <c r="G112" s="205">
        <v>4</v>
      </c>
      <c r="H112" s="182">
        <v>4</v>
      </c>
      <c r="I112" s="194">
        <v>8268.77</v>
      </c>
      <c r="J112" s="194">
        <v>8268.77</v>
      </c>
      <c r="K112" s="194">
        <v>7738.41</v>
      </c>
      <c r="L112" s="182">
        <v>351</v>
      </c>
      <c r="M112" s="198">
        <f>N112+O112+P112+Q112</f>
        <v>11213845.11</v>
      </c>
      <c r="N112" s="292">
        <v>7279993.89</v>
      </c>
      <c r="O112" s="292">
        <v>3119997.38</v>
      </c>
      <c r="P112" s="198">
        <v>293853.84</v>
      </c>
      <c r="Q112" s="198">
        <v>520000</v>
      </c>
      <c r="R112" s="199">
        <v>44195</v>
      </c>
      <c r="S112" s="216" t="s">
        <v>184</v>
      </c>
      <c r="T112" s="198"/>
      <c r="U112" s="241"/>
    </row>
    <row r="113" spans="1:21" ht="15" customHeight="1">
      <c r="A113" s="195">
        <f>A112+1</f>
        <v>69</v>
      </c>
      <c r="B113" s="196" t="s">
        <v>422</v>
      </c>
      <c r="C113" s="197">
        <v>1993</v>
      </c>
      <c r="D113" s="281"/>
      <c r="E113" s="203" t="s">
        <v>190</v>
      </c>
      <c r="F113" s="182">
        <v>9</v>
      </c>
      <c r="G113" s="205">
        <v>1</v>
      </c>
      <c r="H113" s="182">
        <v>1</v>
      </c>
      <c r="I113" s="194">
        <v>2084.56</v>
      </c>
      <c r="J113" s="194">
        <v>2084.56</v>
      </c>
      <c r="K113" s="194">
        <v>1634.41</v>
      </c>
      <c r="L113" s="182">
        <v>97</v>
      </c>
      <c r="M113" s="198">
        <f>N113+O113+P113+Q113</f>
        <v>2803460.69</v>
      </c>
      <c r="N113" s="198">
        <v>1819998.06</v>
      </c>
      <c r="O113" s="198">
        <v>779999.17</v>
      </c>
      <c r="P113" s="198">
        <v>73463.46</v>
      </c>
      <c r="Q113" s="198">
        <v>130000</v>
      </c>
      <c r="R113" s="199">
        <v>44195</v>
      </c>
      <c r="S113" s="216" t="s">
        <v>184</v>
      </c>
      <c r="T113" s="198"/>
      <c r="U113" s="241"/>
    </row>
    <row r="114" spans="1:21" ht="15" customHeight="1">
      <c r="A114" s="195">
        <f>A113+1</f>
        <v>70</v>
      </c>
      <c r="B114" s="196" t="s">
        <v>423</v>
      </c>
      <c r="C114" s="197">
        <v>1992</v>
      </c>
      <c r="D114" s="193"/>
      <c r="E114" s="193" t="s">
        <v>190</v>
      </c>
      <c r="F114" s="282">
        <v>9</v>
      </c>
      <c r="G114" s="197">
        <v>1</v>
      </c>
      <c r="H114" s="282">
        <v>1</v>
      </c>
      <c r="I114" s="194">
        <v>2294.53</v>
      </c>
      <c r="J114" s="194">
        <v>2294.53</v>
      </c>
      <c r="K114" s="194">
        <v>2030.92</v>
      </c>
      <c r="L114" s="182">
        <v>99</v>
      </c>
      <c r="M114" s="198">
        <f>N114+O114+P114+Q114</f>
        <v>2803460.69</v>
      </c>
      <c r="N114" s="198">
        <v>1819998.06</v>
      </c>
      <c r="O114" s="198">
        <v>779999.17</v>
      </c>
      <c r="P114" s="198">
        <v>73463.46</v>
      </c>
      <c r="Q114" s="198">
        <v>130000</v>
      </c>
      <c r="R114" s="199">
        <v>44195</v>
      </c>
      <c r="S114" s="216" t="s">
        <v>184</v>
      </c>
      <c r="T114" s="198"/>
      <c r="U114" s="241"/>
    </row>
    <row r="115" spans="1:21" ht="15" customHeight="1">
      <c r="A115" s="195">
        <f>A114+1</f>
        <v>71</v>
      </c>
      <c r="B115" s="196" t="s">
        <v>424</v>
      </c>
      <c r="C115" s="197">
        <v>1981</v>
      </c>
      <c r="D115" s="197"/>
      <c r="E115" s="197" t="s">
        <v>190</v>
      </c>
      <c r="F115" s="282">
        <v>9</v>
      </c>
      <c r="G115" s="197">
        <v>4</v>
      </c>
      <c r="H115" s="282">
        <v>4</v>
      </c>
      <c r="I115" s="193">
        <v>8373.15</v>
      </c>
      <c r="J115" s="193">
        <v>8373.15</v>
      </c>
      <c r="K115" s="193">
        <v>6978.52</v>
      </c>
      <c r="L115" s="282">
        <v>383</v>
      </c>
      <c r="M115" s="198">
        <f>N115+O115+P115+Q115</f>
        <v>11213587.58</v>
      </c>
      <c r="N115" s="198">
        <v>7279813.62</v>
      </c>
      <c r="O115" s="198">
        <v>3119920.12</v>
      </c>
      <c r="P115" s="198">
        <v>293853.84</v>
      </c>
      <c r="Q115" s="198">
        <v>520000</v>
      </c>
      <c r="R115" s="199">
        <v>44195</v>
      </c>
      <c r="S115" s="216" t="s">
        <v>184</v>
      </c>
      <c r="T115" s="198"/>
      <c r="U115" s="241"/>
    </row>
    <row r="116" spans="1:21" ht="15" customHeight="1">
      <c r="A116" s="370" t="s">
        <v>23</v>
      </c>
      <c r="B116" s="337"/>
      <c r="C116" s="214" t="s">
        <v>261</v>
      </c>
      <c r="D116" s="216" t="s">
        <v>261</v>
      </c>
      <c r="E116" s="216" t="s">
        <v>261</v>
      </c>
      <c r="F116" s="216" t="s">
        <v>261</v>
      </c>
      <c r="G116" s="216" t="s">
        <v>261</v>
      </c>
      <c r="H116" s="179">
        <f aca="true" t="shared" si="29" ref="H116:M116">SUM(H111:H115)</f>
        <v>10</v>
      </c>
      <c r="I116" s="179">
        <f t="shared" si="29"/>
        <v>21021.010000000002</v>
      </c>
      <c r="J116" s="179">
        <f t="shared" si="29"/>
        <v>21021.010000000002</v>
      </c>
      <c r="K116" s="179">
        <f t="shared" si="29"/>
        <v>18382.260000000002</v>
      </c>
      <c r="L116" s="179">
        <f t="shared" si="29"/>
        <v>930</v>
      </c>
      <c r="M116" s="198">
        <f t="shared" si="29"/>
        <v>28034354.07</v>
      </c>
      <c r="N116" s="198">
        <f>SUM(N112:N115)</f>
        <v>18199803.63</v>
      </c>
      <c r="O116" s="198">
        <f>SUM(O112:O115)</f>
        <v>7799915.84</v>
      </c>
      <c r="P116" s="198">
        <f>SUM(P112:P115)</f>
        <v>734634.6000000001</v>
      </c>
      <c r="Q116" s="198">
        <f>SUM(Q112:Q115)</f>
        <v>1300000</v>
      </c>
      <c r="R116" s="216" t="s">
        <v>261</v>
      </c>
      <c r="S116" s="216" t="s">
        <v>261</v>
      </c>
      <c r="T116" s="198">
        <f>SUM(T101:T115)</f>
        <v>2920522797.5099998</v>
      </c>
      <c r="U116" s="241">
        <f>T116-N116-O116</f>
        <v>2894523078.0399995</v>
      </c>
    </row>
    <row r="117" spans="1:21" ht="15" customHeight="1">
      <c r="A117" s="249" t="s">
        <v>425</v>
      </c>
      <c r="B117" s="213"/>
      <c r="C117" s="214"/>
      <c r="D117" s="216"/>
      <c r="E117" s="216"/>
      <c r="F117" s="216"/>
      <c r="G117" s="214"/>
      <c r="H117" s="209"/>
      <c r="I117" s="208"/>
      <c r="J117" s="208"/>
      <c r="K117" s="208"/>
      <c r="L117" s="209"/>
      <c r="M117" s="180"/>
      <c r="N117" s="208"/>
      <c r="O117" s="208"/>
      <c r="P117" s="300"/>
      <c r="Q117" s="208"/>
      <c r="R117" s="207"/>
      <c r="S117" s="207"/>
      <c r="T117" s="198"/>
      <c r="U117" s="241"/>
    </row>
    <row r="118" spans="1:21" ht="15" customHeight="1">
      <c r="A118" s="195">
        <f>A115+1</f>
        <v>72</v>
      </c>
      <c r="B118" s="196" t="s">
        <v>426</v>
      </c>
      <c r="C118" s="303">
        <v>1984</v>
      </c>
      <c r="D118" s="304"/>
      <c r="E118" s="203" t="s">
        <v>185</v>
      </c>
      <c r="F118" s="305">
        <v>9</v>
      </c>
      <c r="G118" s="303">
        <v>1</v>
      </c>
      <c r="H118" s="182">
        <v>1</v>
      </c>
      <c r="I118" s="227">
        <v>2562.44</v>
      </c>
      <c r="J118" s="227">
        <v>2562.44</v>
      </c>
      <c r="K118" s="227">
        <v>1945.65</v>
      </c>
      <c r="L118" s="305">
        <v>104</v>
      </c>
      <c r="M118" s="198">
        <f>N118+O118+P118+Q118</f>
        <v>2802958.54</v>
      </c>
      <c r="N118" s="198">
        <v>1819646.56</v>
      </c>
      <c r="O118" s="198">
        <v>779848.52</v>
      </c>
      <c r="P118" s="298">
        <v>73463.46</v>
      </c>
      <c r="Q118" s="198">
        <v>130000</v>
      </c>
      <c r="R118" s="199">
        <v>44195</v>
      </c>
      <c r="S118" s="216" t="s">
        <v>184</v>
      </c>
      <c r="T118" s="198"/>
      <c r="U118" s="241"/>
    </row>
    <row r="119" spans="1:21" ht="15" customHeight="1">
      <c r="A119" s="195">
        <f>A118+1</f>
        <v>73</v>
      </c>
      <c r="B119" s="196" t="s">
        <v>427</v>
      </c>
      <c r="C119" s="205">
        <v>1990</v>
      </c>
      <c r="D119" s="304"/>
      <c r="E119" s="203" t="s">
        <v>185</v>
      </c>
      <c r="F119" s="182">
        <v>9</v>
      </c>
      <c r="G119" s="205">
        <v>1</v>
      </c>
      <c r="H119" s="182">
        <v>1</v>
      </c>
      <c r="I119" s="193">
        <v>2733.35</v>
      </c>
      <c r="J119" s="227">
        <v>2733.35</v>
      </c>
      <c r="K119" s="194">
        <v>2724.2</v>
      </c>
      <c r="L119" s="182">
        <v>129</v>
      </c>
      <c r="M119" s="198">
        <f>N119+O119+P119+Q119</f>
        <v>2803455.99</v>
      </c>
      <c r="N119" s="198">
        <v>1819994.77</v>
      </c>
      <c r="O119" s="198">
        <v>779997.76</v>
      </c>
      <c r="P119" s="298">
        <v>73463.46</v>
      </c>
      <c r="Q119" s="198">
        <v>130000</v>
      </c>
      <c r="R119" s="199">
        <v>44195</v>
      </c>
      <c r="S119" s="216" t="s">
        <v>184</v>
      </c>
      <c r="T119" s="198"/>
      <c r="U119" s="241"/>
    </row>
    <row r="120" spans="1:21" ht="15" customHeight="1">
      <c r="A120" s="195">
        <f>A119+1</f>
        <v>74</v>
      </c>
      <c r="B120" s="196" t="s">
        <v>428</v>
      </c>
      <c r="C120" s="197">
        <v>1988</v>
      </c>
      <c r="D120" s="304"/>
      <c r="E120" s="193" t="s">
        <v>186</v>
      </c>
      <c r="F120" s="282">
        <v>9</v>
      </c>
      <c r="G120" s="197">
        <v>1</v>
      </c>
      <c r="H120" s="282">
        <v>1</v>
      </c>
      <c r="I120" s="227">
        <v>3090.73</v>
      </c>
      <c r="J120" s="227">
        <v>3090.73</v>
      </c>
      <c r="K120" s="227">
        <v>2002.49</v>
      </c>
      <c r="L120" s="305">
        <v>98</v>
      </c>
      <c r="M120" s="198">
        <f>N120+O120+P120+Q120</f>
        <v>2733462.8200000003</v>
      </c>
      <c r="N120" s="198">
        <v>1770999.55</v>
      </c>
      <c r="O120" s="198">
        <v>758999.81</v>
      </c>
      <c r="P120" s="298">
        <v>73463.46</v>
      </c>
      <c r="Q120" s="198">
        <v>130000</v>
      </c>
      <c r="R120" s="199">
        <v>44195</v>
      </c>
      <c r="S120" s="216" t="s">
        <v>184</v>
      </c>
      <c r="T120" s="198"/>
      <c r="U120" s="241"/>
    </row>
    <row r="121" spans="1:21" ht="15" customHeight="1">
      <c r="A121" s="195">
        <f>A120+1</f>
        <v>75</v>
      </c>
      <c r="B121" s="196" t="s">
        <v>429</v>
      </c>
      <c r="C121" s="197">
        <v>1981</v>
      </c>
      <c r="D121" s="304"/>
      <c r="E121" s="193" t="s">
        <v>185</v>
      </c>
      <c r="F121" s="282">
        <v>9</v>
      </c>
      <c r="G121" s="197">
        <v>1</v>
      </c>
      <c r="H121" s="282">
        <v>1</v>
      </c>
      <c r="I121" s="227">
        <v>3109.14</v>
      </c>
      <c r="J121" s="227">
        <v>3109.14</v>
      </c>
      <c r="K121" s="227">
        <v>1956.81</v>
      </c>
      <c r="L121" s="305">
        <v>105</v>
      </c>
      <c r="M121" s="198">
        <f>N121+O121+P121+Q121</f>
        <v>2803463.04</v>
      </c>
      <c r="N121" s="198">
        <v>1819999.71</v>
      </c>
      <c r="O121" s="198">
        <v>779999.87</v>
      </c>
      <c r="P121" s="298">
        <v>73463.46</v>
      </c>
      <c r="Q121" s="198">
        <v>130000</v>
      </c>
      <c r="R121" s="199">
        <v>44195</v>
      </c>
      <c r="S121" s="216" t="s">
        <v>184</v>
      </c>
      <c r="T121" s="198"/>
      <c r="U121" s="241"/>
    </row>
    <row r="122" spans="1:21" ht="15" customHeight="1">
      <c r="A122" s="370" t="s">
        <v>23</v>
      </c>
      <c r="B122" s="337"/>
      <c r="C122" s="214" t="s">
        <v>261</v>
      </c>
      <c r="D122" s="216" t="s">
        <v>261</v>
      </c>
      <c r="E122" s="216" t="s">
        <v>261</v>
      </c>
      <c r="F122" s="216" t="s">
        <v>261</v>
      </c>
      <c r="G122" s="216" t="s">
        <v>261</v>
      </c>
      <c r="H122" s="179">
        <f aca="true" t="shared" si="30" ref="H122:M122">SUM(H117:H121)</f>
        <v>4</v>
      </c>
      <c r="I122" s="179">
        <f t="shared" si="30"/>
        <v>11495.66</v>
      </c>
      <c r="J122" s="179">
        <f t="shared" si="30"/>
        <v>11495.66</v>
      </c>
      <c r="K122" s="179">
        <f t="shared" si="30"/>
        <v>8629.15</v>
      </c>
      <c r="L122" s="179">
        <f t="shared" si="30"/>
        <v>436</v>
      </c>
      <c r="M122" s="198">
        <f t="shared" si="30"/>
        <v>11143340.39</v>
      </c>
      <c r="N122" s="198">
        <f>SUM(N118:N121)</f>
        <v>7230640.59</v>
      </c>
      <c r="O122" s="198">
        <f>SUM(O118:O121)</f>
        <v>3098845.96</v>
      </c>
      <c r="P122" s="198">
        <f>SUM(P118:P121)</f>
        <v>293853.84</v>
      </c>
      <c r="Q122" s="198">
        <f>SUM(Q118:Q121)</f>
        <v>520000</v>
      </c>
      <c r="R122" s="216" t="s">
        <v>261</v>
      </c>
      <c r="S122" s="216" t="s">
        <v>261</v>
      </c>
      <c r="T122" s="198">
        <f>SUM(T107:T121)</f>
        <v>5841045595.0199995</v>
      </c>
      <c r="U122" s="241">
        <f>T122-N122-O122</f>
        <v>5830716108.469999</v>
      </c>
    </row>
    <row r="123" spans="1:21" ht="15" customHeight="1">
      <c r="A123" s="341" t="s">
        <v>34</v>
      </c>
      <c r="B123" s="342"/>
      <c r="C123" s="206" t="s">
        <v>261</v>
      </c>
      <c r="D123" s="207" t="s">
        <v>261</v>
      </c>
      <c r="E123" s="207" t="s">
        <v>261</v>
      </c>
      <c r="F123" s="207" t="s">
        <v>261</v>
      </c>
      <c r="G123" s="206" t="s">
        <v>261</v>
      </c>
      <c r="H123" s="178">
        <f aca="true" t="shared" si="31" ref="H123:Q123">H122+H116</f>
        <v>14</v>
      </c>
      <c r="I123" s="178">
        <f t="shared" si="31"/>
        <v>32516.670000000002</v>
      </c>
      <c r="J123" s="178">
        <f t="shared" si="31"/>
        <v>32516.670000000002</v>
      </c>
      <c r="K123" s="178">
        <f t="shared" si="31"/>
        <v>27011.410000000003</v>
      </c>
      <c r="L123" s="306">
        <f t="shared" si="31"/>
        <v>1366</v>
      </c>
      <c r="M123" s="178">
        <f t="shared" si="31"/>
        <v>39177694.46</v>
      </c>
      <c r="N123" s="178">
        <f t="shared" si="31"/>
        <v>25430444.22</v>
      </c>
      <c r="O123" s="178">
        <f t="shared" si="31"/>
        <v>10898761.8</v>
      </c>
      <c r="P123" s="178">
        <f t="shared" si="31"/>
        <v>1028488.4400000002</v>
      </c>
      <c r="Q123" s="178">
        <f t="shared" si="31"/>
        <v>1820000</v>
      </c>
      <c r="R123" s="207" t="s">
        <v>261</v>
      </c>
      <c r="S123" s="207" t="s">
        <v>261</v>
      </c>
      <c r="T123" s="198">
        <f>T116+T99+T85+T81</f>
        <v>3729256214.7999997</v>
      </c>
      <c r="U123" s="241">
        <f>T123-N123-O123</f>
        <v>3692927008.7799997</v>
      </c>
    </row>
    <row r="124" spans="1:21" ht="15" customHeight="1">
      <c r="A124" s="387" t="s">
        <v>294</v>
      </c>
      <c r="B124" s="388"/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9"/>
      <c r="T124" s="198"/>
      <c r="U124" s="241"/>
    </row>
    <row r="125" spans="1:21" ht="15" customHeight="1">
      <c r="A125" s="249" t="s">
        <v>430</v>
      </c>
      <c r="B125" s="212"/>
      <c r="C125" s="214"/>
      <c r="D125" s="216"/>
      <c r="E125" s="216"/>
      <c r="F125" s="216"/>
      <c r="G125" s="216"/>
      <c r="H125" s="179"/>
      <c r="I125" s="179"/>
      <c r="J125" s="179"/>
      <c r="K125" s="179"/>
      <c r="L125" s="179"/>
      <c r="M125" s="180"/>
      <c r="N125" s="198"/>
      <c r="O125" s="198"/>
      <c r="P125" s="298"/>
      <c r="Q125" s="198"/>
      <c r="R125" s="216"/>
      <c r="S125" s="216"/>
      <c r="T125" s="198"/>
      <c r="U125" s="241"/>
    </row>
    <row r="126" spans="1:21" ht="15" customHeight="1">
      <c r="A126" s="195">
        <f>A121+1</f>
        <v>76</v>
      </c>
      <c r="B126" s="196" t="s">
        <v>431</v>
      </c>
      <c r="C126" s="182">
        <v>1993</v>
      </c>
      <c r="D126" s="307"/>
      <c r="E126" s="182" t="s">
        <v>183</v>
      </c>
      <c r="F126" s="182">
        <v>10</v>
      </c>
      <c r="G126" s="205">
        <v>2</v>
      </c>
      <c r="H126" s="182">
        <v>2</v>
      </c>
      <c r="I126" s="194">
        <v>4753.3</v>
      </c>
      <c r="J126" s="194">
        <v>4753.3</v>
      </c>
      <c r="K126" s="194">
        <v>4472.9</v>
      </c>
      <c r="L126" s="182">
        <v>159</v>
      </c>
      <c r="M126" s="198">
        <f>N126+O126+P126+Q126</f>
        <v>5600105.9399999995</v>
      </c>
      <c r="N126" s="198">
        <v>3635225.31</v>
      </c>
      <c r="O126" s="198">
        <v>1557953.71</v>
      </c>
      <c r="P126" s="298">
        <v>146926.92</v>
      </c>
      <c r="Q126" s="198">
        <v>260000</v>
      </c>
      <c r="R126" s="199">
        <v>44195</v>
      </c>
      <c r="S126" s="216" t="s">
        <v>184</v>
      </c>
      <c r="T126" s="198"/>
      <c r="U126" s="241"/>
    </row>
    <row r="127" spans="1:21" ht="15" customHeight="1">
      <c r="A127" s="370" t="s">
        <v>23</v>
      </c>
      <c r="B127" s="337"/>
      <c r="C127" s="214" t="s">
        <v>261</v>
      </c>
      <c r="D127" s="216" t="s">
        <v>261</v>
      </c>
      <c r="E127" s="216" t="s">
        <v>261</v>
      </c>
      <c r="F127" s="216" t="s">
        <v>261</v>
      </c>
      <c r="G127" s="216" t="s">
        <v>261</v>
      </c>
      <c r="H127" s="179">
        <f aca="true" t="shared" si="32" ref="H127:Q127">SUM(H126)</f>
        <v>2</v>
      </c>
      <c r="I127" s="179">
        <f t="shared" si="32"/>
        <v>4753.3</v>
      </c>
      <c r="J127" s="179">
        <f t="shared" si="32"/>
        <v>4753.3</v>
      </c>
      <c r="K127" s="179">
        <f t="shared" si="32"/>
        <v>4472.9</v>
      </c>
      <c r="L127" s="179">
        <f t="shared" si="32"/>
        <v>159</v>
      </c>
      <c r="M127" s="198">
        <f t="shared" si="32"/>
        <v>5600105.9399999995</v>
      </c>
      <c r="N127" s="198">
        <f t="shared" si="32"/>
        <v>3635225.31</v>
      </c>
      <c r="O127" s="198">
        <f t="shared" si="32"/>
        <v>1557953.71</v>
      </c>
      <c r="P127" s="198">
        <f t="shared" si="32"/>
        <v>146926.92</v>
      </c>
      <c r="Q127" s="198">
        <f t="shared" si="32"/>
        <v>260000</v>
      </c>
      <c r="R127" s="216" t="s">
        <v>261</v>
      </c>
      <c r="S127" s="216" t="s">
        <v>261</v>
      </c>
      <c r="T127" s="198">
        <f>SUM(T112:T126)</f>
        <v>12490824607.329998</v>
      </c>
      <c r="U127" s="241">
        <f>T127-N127-O127</f>
        <v>12485631428.31</v>
      </c>
    </row>
    <row r="128" spans="1:21" ht="15" customHeight="1">
      <c r="A128" s="341" t="s">
        <v>297</v>
      </c>
      <c r="B128" s="342"/>
      <c r="C128" s="206" t="s">
        <v>261</v>
      </c>
      <c r="D128" s="207" t="s">
        <v>261</v>
      </c>
      <c r="E128" s="207" t="s">
        <v>261</v>
      </c>
      <c r="F128" s="207" t="s">
        <v>261</v>
      </c>
      <c r="G128" s="206" t="s">
        <v>261</v>
      </c>
      <c r="H128" s="208">
        <f aca="true" t="shared" si="33" ref="H128:Q128">H127</f>
        <v>2</v>
      </c>
      <c r="I128" s="208">
        <f t="shared" si="33"/>
        <v>4753.3</v>
      </c>
      <c r="J128" s="208">
        <f t="shared" si="33"/>
        <v>4753.3</v>
      </c>
      <c r="K128" s="208">
        <f t="shared" si="33"/>
        <v>4472.9</v>
      </c>
      <c r="L128" s="209">
        <f t="shared" si="33"/>
        <v>159</v>
      </c>
      <c r="M128" s="178">
        <f t="shared" si="33"/>
        <v>5600105.9399999995</v>
      </c>
      <c r="N128" s="208">
        <f t="shared" si="33"/>
        <v>3635225.31</v>
      </c>
      <c r="O128" s="208">
        <f t="shared" si="33"/>
        <v>1557953.71</v>
      </c>
      <c r="P128" s="300">
        <f t="shared" si="33"/>
        <v>146926.92</v>
      </c>
      <c r="Q128" s="208">
        <f t="shared" si="33"/>
        <v>260000</v>
      </c>
      <c r="R128" s="207" t="s">
        <v>261</v>
      </c>
      <c r="S128" s="207" t="s">
        <v>261</v>
      </c>
      <c r="T128" s="198">
        <f>T127+T110+T96+T92</f>
        <v>12490824607.329998</v>
      </c>
      <c r="U128" s="241">
        <f>T128-N128-O128</f>
        <v>12485631428.31</v>
      </c>
    </row>
    <row r="129" spans="1:21" ht="15" customHeight="1">
      <c r="A129" s="406" t="s">
        <v>432</v>
      </c>
      <c r="B129" s="407"/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8"/>
      <c r="T129" s="198"/>
      <c r="U129" s="241"/>
    </row>
    <row r="130" spans="1:21" ht="15" customHeight="1">
      <c r="A130" s="195">
        <f>A126+1</f>
        <v>77</v>
      </c>
      <c r="B130" s="196" t="s">
        <v>438</v>
      </c>
      <c r="C130" s="197">
        <v>1989</v>
      </c>
      <c r="D130" s="308"/>
      <c r="E130" s="203" t="s">
        <v>185</v>
      </c>
      <c r="F130" s="194" t="s">
        <v>461</v>
      </c>
      <c r="G130" s="282">
        <v>8</v>
      </c>
      <c r="H130" s="270">
        <v>6</v>
      </c>
      <c r="I130" s="194">
        <v>10517.1</v>
      </c>
      <c r="J130" s="194">
        <v>10517.1</v>
      </c>
      <c r="K130" s="193">
        <v>7125.9</v>
      </c>
      <c r="L130" s="309"/>
      <c r="M130" s="198">
        <f aca="true" t="shared" si="34" ref="M130:M136">N130+O130+P130+Q130</f>
        <v>15932442.889999999</v>
      </c>
      <c r="N130" s="198">
        <v>10298163.49</v>
      </c>
      <c r="O130" s="198">
        <v>4413498.64</v>
      </c>
      <c r="P130" s="216">
        <v>440780.76</v>
      </c>
      <c r="Q130" s="216">
        <v>780000</v>
      </c>
      <c r="R130" s="199">
        <v>44195</v>
      </c>
      <c r="S130" s="216" t="s">
        <v>184</v>
      </c>
      <c r="T130" s="198"/>
      <c r="U130" s="241"/>
    </row>
    <row r="131" spans="1:21" ht="15" customHeight="1">
      <c r="A131" s="195">
        <f aca="true" t="shared" si="35" ref="A131:A136">A130+1</f>
        <v>78</v>
      </c>
      <c r="B131" s="196" t="s">
        <v>437</v>
      </c>
      <c r="C131" s="197">
        <v>1991</v>
      </c>
      <c r="D131" s="310"/>
      <c r="E131" s="203" t="s">
        <v>185</v>
      </c>
      <c r="F131" s="282">
        <v>9</v>
      </c>
      <c r="G131" s="197">
        <v>1</v>
      </c>
      <c r="H131" s="282">
        <v>1</v>
      </c>
      <c r="I131" s="193">
        <v>3207.7</v>
      </c>
      <c r="J131" s="193">
        <v>3207.7</v>
      </c>
      <c r="K131" s="193">
        <v>1960.8</v>
      </c>
      <c r="L131" s="282">
        <v>158</v>
      </c>
      <c r="M131" s="198">
        <f t="shared" si="34"/>
        <v>2804196.81</v>
      </c>
      <c r="N131" s="198">
        <v>1820513.35</v>
      </c>
      <c r="O131" s="198">
        <v>780220</v>
      </c>
      <c r="P131" s="198">
        <v>73463.46</v>
      </c>
      <c r="Q131" s="198">
        <v>130000</v>
      </c>
      <c r="R131" s="199">
        <v>44195</v>
      </c>
      <c r="S131" s="216" t="s">
        <v>184</v>
      </c>
      <c r="T131" s="198"/>
      <c r="U131" s="241"/>
    </row>
    <row r="132" spans="1:21" ht="15" customHeight="1">
      <c r="A132" s="195">
        <f t="shared" si="35"/>
        <v>79</v>
      </c>
      <c r="B132" s="196" t="s">
        <v>433</v>
      </c>
      <c r="C132" s="197">
        <v>1993</v>
      </c>
      <c r="D132" s="310"/>
      <c r="E132" s="203" t="s">
        <v>186</v>
      </c>
      <c r="F132" s="193">
        <v>9</v>
      </c>
      <c r="G132" s="197">
        <v>4</v>
      </c>
      <c r="H132" s="282">
        <v>4</v>
      </c>
      <c r="I132" s="193">
        <v>8212</v>
      </c>
      <c r="J132" s="193">
        <v>8212</v>
      </c>
      <c r="K132" s="193">
        <v>4889.2</v>
      </c>
      <c r="L132" s="282">
        <v>337</v>
      </c>
      <c r="M132" s="198">
        <f t="shared" si="34"/>
        <v>11079698</v>
      </c>
      <c r="N132" s="198">
        <v>7186090.91</v>
      </c>
      <c r="O132" s="198">
        <v>3079753.25</v>
      </c>
      <c r="P132" s="198">
        <v>293853.84</v>
      </c>
      <c r="Q132" s="198">
        <v>520000</v>
      </c>
      <c r="R132" s="199">
        <v>44195</v>
      </c>
      <c r="S132" s="216" t="s">
        <v>184</v>
      </c>
      <c r="T132" s="198"/>
      <c r="U132" s="241"/>
    </row>
    <row r="133" spans="1:21" ht="15" customHeight="1">
      <c r="A133" s="195">
        <f t="shared" si="35"/>
        <v>80</v>
      </c>
      <c r="B133" s="196" t="s">
        <v>434</v>
      </c>
      <c r="C133" s="205">
        <v>1993</v>
      </c>
      <c r="D133" s="281"/>
      <c r="E133" s="203" t="s">
        <v>185</v>
      </c>
      <c r="F133" s="194">
        <v>9</v>
      </c>
      <c r="G133" s="205">
        <v>1</v>
      </c>
      <c r="H133" s="182">
        <v>1</v>
      </c>
      <c r="I133" s="194">
        <v>3241.7</v>
      </c>
      <c r="J133" s="194">
        <v>2642.9</v>
      </c>
      <c r="K133" s="194">
        <v>2094.1</v>
      </c>
      <c r="L133" s="182">
        <v>72</v>
      </c>
      <c r="M133" s="198">
        <f t="shared" si="34"/>
        <v>2773711.94</v>
      </c>
      <c r="N133" s="198">
        <v>1799173.94</v>
      </c>
      <c r="O133" s="198">
        <v>771074.54</v>
      </c>
      <c r="P133" s="298">
        <v>73463.46</v>
      </c>
      <c r="Q133" s="198">
        <v>130000</v>
      </c>
      <c r="R133" s="199">
        <v>44195</v>
      </c>
      <c r="S133" s="216" t="s">
        <v>184</v>
      </c>
      <c r="T133" s="198"/>
      <c r="U133" s="241"/>
    </row>
    <row r="134" spans="1:21" ht="15" customHeight="1">
      <c r="A134" s="195">
        <f t="shared" si="35"/>
        <v>81</v>
      </c>
      <c r="B134" s="196" t="s">
        <v>435</v>
      </c>
      <c r="C134" s="197">
        <v>1992</v>
      </c>
      <c r="D134" s="311"/>
      <c r="E134" s="203" t="s">
        <v>186</v>
      </c>
      <c r="F134" s="194">
        <v>9</v>
      </c>
      <c r="G134" s="205">
        <v>4</v>
      </c>
      <c r="H134" s="282">
        <v>4</v>
      </c>
      <c r="I134" s="194">
        <v>8341.9</v>
      </c>
      <c r="J134" s="194">
        <v>8341.9</v>
      </c>
      <c r="K134" s="193">
        <v>4802.7</v>
      </c>
      <c r="L134" s="282">
        <v>418</v>
      </c>
      <c r="M134" s="198">
        <f t="shared" si="34"/>
        <v>10775926.34</v>
      </c>
      <c r="N134" s="198">
        <v>6973450.75</v>
      </c>
      <c r="O134" s="198">
        <v>2988621.75</v>
      </c>
      <c r="P134" s="298">
        <v>293853.84</v>
      </c>
      <c r="Q134" s="198">
        <v>520000</v>
      </c>
      <c r="R134" s="199">
        <v>44195</v>
      </c>
      <c r="S134" s="216" t="s">
        <v>184</v>
      </c>
      <c r="T134" s="198"/>
      <c r="U134" s="241"/>
    </row>
    <row r="135" spans="1:21" ht="15" customHeight="1">
      <c r="A135" s="195">
        <f t="shared" si="35"/>
        <v>82</v>
      </c>
      <c r="B135" s="196" t="s">
        <v>436</v>
      </c>
      <c r="C135" s="197">
        <v>1992</v>
      </c>
      <c r="D135" s="308"/>
      <c r="E135" s="203" t="s">
        <v>368</v>
      </c>
      <c r="F135" s="194">
        <v>9</v>
      </c>
      <c r="G135" s="205">
        <v>3</v>
      </c>
      <c r="H135" s="282">
        <v>3</v>
      </c>
      <c r="I135" s="194">
        <v>9059.3</v>
      </c>
      <c r="J135" s="194">
        <v>9059.3</v>
      </c>
      <c r="K135" s="193">
        <v>8969.2</v>
      </c>
      <c r="L135" s="282">
        <v>326</v>
      </c>
      <c r="M135" s="198">
        <f t="shared" si="34"/>
        <v>8367472</v>
      </c>
      <c r="N135" s="198">
        <v>5429957.13</v>
      </c>
      <c r="O135" s="198">
        <v>2327124.49</v>
      </c>
      <c r="P135" s="298">
        <v>220390.38</v>
      </c>
      <c r="Q135" s="198">
        <v>390000</v>
      </c>
      <c r="R135" s="199">
        <v>44195</v>
      </c>
      <c r="S135" s="216" t="s">
        <v>184</v>
      </c>
      <c r="T135" s="198"/>
      <c r="U135" s="241"/>
    </row>
    <row r="136" spans="1:21" ht="15" customHeight="1">
      <c r="A136" s="195">
        <f t="shared" si="35"/>
        <v>83</v>
      </c>
      <c r="B136" s="283" t="s">
        <v>439</v>
      </c>
      <c r="C136" s="197">
        <v>1985</v>
      </c>
      <c r="D136" s="310"/>
      <c r="E136" s="203" t="s">
        <v>185</v>
      </c>
      <c r="F136" s="193" t="s">
        <v>462</v>
      </c>
      <c r="G136" s="197">
        <v>1</v>
      </c>
      <c r="H136" s="282">
        <v>1</v>
      </c>
      <c r="I136" s="193">
        <v>4397.6</v>
      </c>
      <c r="J136" s="193">
        <v>4397.6</v>
      </c>
      <c r="K136" s="193">
        <v>2188.1</v>
      </c>
      <c r="L136" s="282">
        <v>195</v>
      </c>
      <c r="M136" s="198">
        <f t="shared" si="34"/>
        <v>2790756.58</v>
      </c>
      <c r="N136" s="198">
        <v>1811105.18</v>
      </c>
      <c r="O136" s="198">
        <v>776187.94</v>
      </c>
      <c r="P136" s="298">
        <v>73463.46</v>
      </c>
      <c r="Q136" s="198">
        <v>130000</v>
      </c>
      <c r="R136" s="199">
        <v>44195</v>
      </c>
      <c r="S136" s="216" t="s">
        <v>184</v>
      </c>
      <c r="T136" s="198"/>
      <c r="U136" s="241"/>
    </row>
    <row r="137" spans="1:21" ht="15" customHeight="1">
      <c r="A137" s="370" t="s">
        <v>23</v>
      </c>
      <c r="B137" s="337"/>
      <c r="C137" s="214" t="s">
        <v>261</v>
      </c>
      <c r="D137" s="216" t="s">
        <v>261</v>
      </c>
      <c r="E137" s="216" t="s">
        <v>261</v>
      </c>
      <c r="F137" s="216" t="s">
        <v>261</v>
      </c>
      <c r="G137" s="216" t="s">
        <v>261</v>
      </c>
      <c r="H137" s="179">
        <f>SUM(H130:H136)</f>
        <v>20</v>
      </c>
      <c r="I137" s="179">
        <f>SUM(I135)</f>
        <v>9059.3</v>
      </c>
      <c r="J137" s="179">
        <f>SUM(J135)</f>
        <v>9059.3</v>
      </c>
      <c r="K137" s="179">
        <f>SUM(K135)</f>
        <v>8969.2</v>
      </c>
      <c r="L137" s="179">
        <f>SUM(L135)</f>
        <v>326</v>
      </c>
      <c r="M137" s="312">
        <f>SUM(M130:M136)</f>
        <v>54524204.56</v>
      </c>
      <c r="N137" s="312">
        <f>SUM(N130:N136)</f>
        <v>35318454.75</v>
      </c>
      <c r="O137" s="312">
        <f>SUM(O130:O136)</f>
        <v>15136480.61</v>
      </c>
      <c r="P137" s="312">
        <f>SUM(P130:P136)</f>
        <v>1469269.2000000002</v>
      </c>
      <c r="Q137" s="312">
        <f>SUM(Q130:Q136)</f>
        <v>2600000</v>
      </c>
      <c r="R137" s="216" t="s">
        <v>261</v>
      </c>
      <c r="S137" s="216" t="s">
        <v>261</v>
      </c>
      <c r="T137" s="198"/>
      <c r="U137" s="241"/>
    </row>
    <row r="138" spans="1:21" s="260" customFormat="1" ht="15" customHeight="1">
      <c r="A138" s="341" t="s">
        <v>452</v>
      </c>
      <c r="B138" s="342"/>
      <c r="C138" s="206" t="str">
        <f>C137</f>
        <v>х</v>
      </c>
      <c r="D138" s="206" t="str">
        <f aca="true" t="shared" si="36" ref="D138:S138">D137</f>
        <v>х</v>
      </c>
      <c r="E138" s="206" t="str">
        <f t="shared" si="36"/>
        <v>х</v>
      </c>
      <c r="F138" s="206" t="str">
        <f t="shared" si="36"/>
        <v>х</v>
      </c>
      <c r="G138" s="206" t="str">
        <f t="shared" si="36"/>
        <v>х</v>
      </c>
      <c r="H138" s="206">
        <f t="shared" si="36"/>
        <v>20</v>
      </c>
      <c r="I138" s="206">
        <f t="shared" si="36"/>
        <v>9059.3</v>
      </c>
      <c r="J138" s="206">
        <f t="shared" si="36"/>
        <v>9059.3</v>
      </c>
      <c r="K138" s="206">
        <f t="shared" si="36"/>
        <v>8969.2</v>
      </c>
      <c r="L138" s="206">
        <f t="shared" si="36"/>
        <v>326</v>
      </c>
      <c r="M138" s="204">
        <f t="shared" si="36"/>
        <v>54524204.56</v>
      </c>
      <c r="N138" s="204">
        <f t="shared" si="36"/>
        <v>35318454.75</v>
      </c>
      <c r="O138" s="204">
        <f t="shared" si="36"/>
        <v>15136480.61</v>
      </c>
      <c r="P138" s="204">
        <f t="shared" si="36"/>
        <v>1469269.2000000002</v>
      </c>
      <c r="Q138" s="204">
        <f t="shared" si="36"/>
        <v>2600000</v>
      </c>
      <c r="R138" s="206" t="str">
        <f t="shared" si="36"/>
        <v>х</v>
      </c>
      <c r="S138" s="206" t="str">
        <f t="shared" si="36"/>
        <v>х</v>
      </c>
      <c r="T138" s="208">
        <f>SUM(T122:T135)</f>
        <v>34551951024.479996</v>
      </c>
      <c r="U138" s="259">
        <f>T138-N137-O137</f>
        <v>34501496089.119995</v>
      </c>
    </row>
    <row r="139" spans="1:21" ht="15" customHeight="1">
      <c r="A139" s="406" t="s">
        <v>299</v>
      </c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  <c r="L139" s="407"/>
      <c r="M139" s="407"/>
      <c r="N139" s="407"/>
      <c r="O139" s="407"/>
      <c r="P139" s="407"/>
      <c r="Q139" s="407"/>
      <c r="R139" s="407"/>
      <c r="S139" s="408"/>
      <c r="T139" s="198"/>
      <c r="U139" s="241"/>
    </row>
    <row r="140" spans="1:21" ht="15" customHeight="1">
      <c r="A140" s="195">
        <f>A136+1</f>
        <v>84</v>
      </c>
      <c r="B140" s="196" t="s">
        <v>440</v>
      </c>
      <c r="C140" s="205">
        <v>1987</v>
      </c>
      <c r="D140" s="281"/>
      <c r="E140" s="203" t="s">
        <v>186</v>
      </c>
      <c r="F140" s="194">
        <v>9</v>
      </c>
      <c r="G140" s="205">
        <v>4</v>
      </c>
      <c r="H140" s="182">
        <v>4</v>
      </c>
      <c r="I140" s="194">
        <v>8096.4</v>
      </c>
      <c r="J140" s="194">
        <v>4324.6</v>
      </c>
      <c r="K140" s="194">
        <v>4117.5</v>
      </c>
      <c r="L140" s="182">
        <v>310</v>
      </c>
      <c r="M140" s="198">
        <f aca="true" t="shared" si="37" ref="M140:M147">N140+O140+P140+Q140</f>
        <v>10925022.21</v>
      </c>
      <c r="N140" s="198">
        <v>7077817.86</v>
      </c>
      <c r="O140" s="198">
        <v>3033350.51</v>
      </c>
      <c r="P140" s="298">
        <v>293853.84</v>
      </c>
      <c r="Q140" s="198">
        <v>520000</v>
      </c>
      <c r="R140" s="199">
        <v>44195</v>
      </c>
      <c r="S140" s="216" t="s">
        <v>184</v>
      </c>
      <c r="T140" s="198"/>
      <c r="U140" s="241"/>
    </row>
    <row r="141" spans="1:21" ht="15" customHeight="1">
      <c r="A141" s="195">
        <f aca="true" t="shared" si="38" ref="A141:A147">A140+1</f>
        <v>85</v>
      </c>
      <c r="B141" s="196" t="s">
        <v>441</v>
      </c>
      <c r="C141" s="197">
        <v>1983</v>
      </c>
      <c r="D141" s="311"/>
      <c r="E141" s="203" t="s">
        <v>185</v>
      </c>
      <c r="F141" s="194">
        <v>9</v>
      </c>
      <c r="G141" s="205">
        <v>1</v>
      </c>
      <c r="H141" s="282">
        <v>1</v>
      </c>
      <c r="I141" s="194">
        <v>2690.5</v>
      </c>
      <c r="J141" s="194">
        <v>2070.8</v>
      </c>
      <c r="K141" s="193">
        <v>1897.64</v>
      </c>
      <c r="L141" s="282">
        <v>94</v>
      </c>
      <c r="M141" s="198">
        <f t="shared" si="37"/>
        <v>2802349.3</v>
      </c>
      <c r="N141" s="198">
        <v>1819220.09</v>
      </c>
      <c r="O141" s="198">
        <v>779665.75</v>
      </c>
      <c r="P141" s="298">
        <v>73463.46</v>
      </c>
      <c r="Q141" s="198">
        <v>130000</v>
      </c>
      <c r="R141" s="199">
        <v>44195</v>
      </c>
      <c r="S141" s="216" t="s">
        <v>184</v>
      </c>
      <c r="T141" s="198"/>
      <c r="U141" s="241"/>
    </row>
    <row r="142" spans="1:21" ht="15" customHeight="1">
      <c r="A142" s="195">
        <f t="shared" si="38"/>
        <v>86</v>
      </c>
      <c r="B142" s="196" t="s">
        <v>442</v>
      </c>
      <c r="C142" s="281">
        <v>1990</v>
      </c>
      <c r="D142" s="310"/>
      <c r="E142" s="203" t="s">
        <v>186</v>
      </c>
      <c r="F142" s="193">
        <v>9</v>
      </c>
      <c r="G142" s="197">
        <v>1</v>
      </c>
      <c r="H142" s="282">
        <v>1</v>
      </c>
      <c r="I142" s="194">
        <v>2906.8</v>
      </c>
      <c r="J142" s="194">
        <v>2026.8</v>
      </c>
      <c r="K142" s="193">
        <v>1971.6</v>
      </c>
      <c r="L142" s="282">
        <v>84</v>
      </c>
      <c r="M142" s="198">
        <f t="shared" si="37"/>
        <v>2733515.56</v>
      </c>
      <c r="N142" s="198">
        <v>1771036.47</v>
      </c>
      <c r="O142" s="198">
        <v>759015.63</v>
      </c>
      <c r="P142" s="298">
        <v>73463.46</v>
      </c>
      <c r="Q142" s="198">
        <v>130000</v>
      </c>
      <c r="R142" s="199">
        <v>44195</v>
      </c>
      <c r="S142" s="216" t="s">
        <v>184</v>
      </c>
      <c r="T142" s="198"/>
      <c r="U142" s="241"/>
    </row>
    <row r="143" spans="1:21" ht="15" customHeight="1">
      <c r="A143" s="195">
        <f t="shared" si="38"/>
        <v>87</v>
      </c>
      <c r="B143" s="196" t="s">
        <v>443</v>
      </c>
      <c r="C143" s="197">
        <v>1990</v>
      </c>
      <c r="D143" s="313"/>
      <c r="E143" s="203" t="s">
        <v>186</v>
      </c>
      <c r="F143" s="193">
        <v>9</v>
      </c>
      <c r="G143" s="197">
        <v>3</v>
      </c>
      <c r="H143" s="282">
        <v>3</v>
      </c>
      <c r="I143" s="193">
        <v>8837.3</v>
      </c>
      <c r="J143" s="193">
        <v>6067.6</v>
      </c>
      <c r="K143" s="193">
        <v>6027.7</v>
      </c>
      <c r="L143" s="282">
        <v>218</v>
      </c>
      <c r="M143" s="198">
        <f t="shared" si="37"/>
        <v>8199017.03</v>
      </c>
      <c r="N143" s="198">
        <v>5312038.66</v>
      </c>
      <c r="O143" s="198">
        <v>2276587.99</v>
      </c>
      <c r="P143" s="298">
        <v>220390.38</v>
      </c>
      <c r="Q143" s="198">
        <v>390000</v>
      </c>
      <c r="R143" s="199">
        <v>44195</v>
      </c>
      <c r="S143" s="216" t="s">
        <v>184</v>
      </c>
      <c r="T143" s="198"/>
      <c r="U143" s="241"/>
    </row>
    <row r="144" spans="1:21" ht="15" customHeight="1">
      <c r="A144" s="195">
        <f t="shared" si="38"/>
        <v>88</v>
      </c>
      <c r="B144" s="196" t="s">
        <v>444</v>
      </c>
      <c r="C144" s="314">
        <v>1992</v>
      </c>
      <c r="D144" s="315"/>
      <c r="E144" s="203" t="s">
        <v>186</v>
      </c>
      <c r="F144" s="316">
        <v>9</v>
      </c>
      <c r="G144" s="314">
        <v>3</v>
      </c>
      <c r="H144" s="317">
        <v>3</v>
      </c>
      <c r="I144" s="193">
        <v>8843.3</v>
      </c>
      <c r="J144" s="318">
        <v>6079</v>
      </c>
      <c r="K144" s="318">
        <v>5966.5</v>
      </c>
      <c r="L144" s="317">
        <v>226</v>
      </c>
      <c r="M144" s="198">
        <f t="shared" si="37"/>
        <v>8179528.259999999</v>
      </c>
      <c r="N144" s="198">
        <v>5298396.52</v>
      </c>
      <c r="O144" s="198">
        <v>2270741.36</v>
      </c>
      <c r="P144" s="298">
        <v>220390.38</v>
      </c>
      <c r="Q144" s="198">
        <v>390000</v>
      </c>
      <c r="R144" s="199">
        <v>44195</v>
      </c>
      <c r="S144" s="216" t="s">
        <v>184</v>
      </c>
      <c r="T144" s="198"/>
      <c r="U144" s="241"/>
    </row>
    <row r="145" spans="1:21" ht="15" customHeight="1">
      <c r="A145" s="195">
        <f t="shared" si="38"/>
        <v>89</v>
      </c>
      <c r="B145" s="196" t="s">
        <v>445</v>
      </c>
      <c r="C145" s="197">
        <v>1987</v>
      </c>
      <c r="D145" s="310"/>
      <c r="E145" s="203" t="s">
        <v>186</v>
      </c>
      <c r="F145" s="193">
        <v>9</v>
      </c>
      <c r="G145" s="197">
        <v>2</v>
      </c>
      <c r="H145" s="282">
        <v>2</v>
      </c>
      <c r="I145" s="193">
        <v>4071.9</v>
      </c>
      <c r="J145" s="193">
        <v>1806.9</v>
      </c>
      <c r="K145" s="193">
        <v>1806.9</v>
      </c>
      <c r="L145" s="282">
        <v>180</v>
      </c>
      <c r="M145" s="198">
        <f t="shared" si="37"/>
        <v>5467331.23</v>
      </c>
      <c r="N145" s="198">
        <v>3542283.02</v>
      </c>
      <c r="O145" s="198">
        <v>1518121.29</v>
      </c>
      <c r="P145" s="298">
        <v>146926.92</v>
      </c>
      <c r="Q145" s="198">
        <v>260000</v>
      </c>
      <c r="R145" s="199">
        <v>44195</v>
      </c>
      <c r="S145" s="216" t="s">
        <v>184</v>
      </c>
      <c r="T145" s="198"/>
      <c r="U145" s="241"/>
    </row>
    <row r="146" spans="1:21" ht="15" customHeight="1">
      <c r="A146" s="195">
        <f t="shared" si="38"/>
        <v>90</v>
      </c>
      <c r="B146" s="196" t="s">
        <v>446</v>
      </c>
      <c r="C146" s="205">
        <v>1996</v>
      </c>
      <c r="D146" s="281"/>
      <c r="E146" s="203" t="s">
        <v>185</v>
      </c>
      <c r="F146" s="194">
        <v>10</v>
      </c>
      <c r="G146" s="205">
        <v>1</v>
      </c>
      <c r="H146" s="182">
        <v>1</v>
      </c>
      <c r="I146" s="194">
        <v>3373.8</v>
      </c>
      <c r="J146" s="194">
        <v>2535.9</v>
      </c>
      <c r="K146" s="194">
        <v>2472.59</v>
      </c>
      <c r="L146" s="182">
        <v>96</v>
      </c>
      <c r="M146" s="198">
        <f t="shared" si="37"/>
        <v>2873700.4499999997</v>
      </c>
      <c r="N146" s="198">
        <v>1869165.89</v>
      </c>
      <c r="O146" s="198">
        <v>801071.1</v>
      </c>
      <c r="P146" s="298">
        <v>73463.46</v>
      </c>
      <c r="Q146" s="198">
        <v>130000</v>
      </c>
      <c r="R146" s="199">
        <v>44195</v>
      </c>
      <c r="S146" s="216" t="s">
        <v>184</v>
      </c>
      <c r="T146" s="198"/>
      <c r="U146" s="241"/>
    </row>
    <row r="147" spans="1:21" ht="15" customHeight="1">
      <c r="A147" s="195">
        <f t="shared" si="38"/>
        <v>91</v>
      </c>
      <c r="B147" s="196" t="s">
        <v>447</v>
      </c>
      <c r="C147" s="205">
        <v>1989</v>
      </c>
      <c r="D147" s="281"/>
      <c r="E147" s="203" t="s">
        <v>186</v>
      </c>
      <c r="F147" s="194">
        <v>9</v>
      </c>
      <c r="G147" s="205">
        <v>4</v>
      </c>
      <c r="H147" s="182">
        <v>4</v>
      </c>
      <c r="I147" s="194">
        <v>7964.43</v>
      </c>
      <c r="J147" s="194">
        <v>4481.39</v>
      </c>
      <c r="K147" s="194">
        <v>3991.17</v>
      </c>
      <c r="L147" s="182">
        <v>379</v>
      </c>
      <c r="M147" s="198">
        <f t="shared" si="37"/>
        <v>10933757.17</v>
      </c>
      <c r="N147" s="198">
        <v>7083932.33</v>
      </c>
      <c r="O147" s="198">
        <v>3035971</v>
      </c>
      <c r="P147" s="298">
        <v>293853.84</v>
      </c>
      <c r="Q147" s="198">
        <v>520000</v>
      </c>
      <c r="R147" s="199">
        <v>44195</v>
      </c>
      <c r="S147" s="216" t="s">
        <v>184</v>
      </c>
      <c r="T147" s="198"/>
      <c r="U147" s="241"/>
    </row>
    <row r="148" spans="1:21" ht="15" customHeight="1">
      <c r="A148" s="370" t="s">
        <v>23</v>
      </c>
      <c r="B148" s="337"/>
      <c r="C148" s="214" t="s">
        <v>261</v>
      </c>
      <c r="D148" s="216" t="s">
        <v>261</v>
      </c>
      <c r="E148" s="216" t="s">
        <v>261</v>
      </c>
      <c r="F148" s="216" t="s">
        <v>261</v>
      </c>
      <c r="G148" s="216" t="s">
        <v>261</v>
      </c>
      <c r="H148" s="179">
        <f>SUM(H140:H147)</f>
        <v>19</v>
      </c>
      <c r="I148" s="179">
        <f>SUM(I146)</f>
        <v>3373.8</v>
      </c>
      <c r="J148" s="179">
        <f>SUM(J146)</f>
        <v>2535.9</v>
      </c>
      <c r="K148" s="179">
        <f>SUM(K146)</f>
        <v>2472.59</v>
      </c>
      <c r="L148" s="179">
        <f>SUM(L146)</f>
        <v>96</v>
      </c>
      <c r="M148" s="198">
        <f>SUM(M140:M147)</f>
        <v>52114221.21000001</v>
      </c>
      <c r="N148" s="198">
        <f>SUM(N140:N147)</f>
        <v>33773890.84</v>
      </c>
      <c r="O148" s="198">
        <f>SUM(O140:O147)</f>
        <v>14474524.63</v>
      </c>
      <c r="P148" s="198">
        <f>SUM(P140:P147)</f>
        <v>1395805.7400000002</v>
      </c>
      <c r="Q148" s="198">
        <f>SUM(Q140:Q147)</f>
        <v>2470000</v>
      </c>
      <c r="R148" s="216" t="s">
        <v>261</v>
      </c>
      <c r="S148" s="216" t="s">
        <v>261</v>
      </c>
      <c r="T148" s="198">
        <f>SUM(T131:T146)</f>
        <v>34551951024.479996</v>
      </c>
      <c r="U148" s="241">
        <f>T148-N148-O148</f>
        <v>34503702609.01</v>
      </c>
    </row>
    <row r="149" spans="1:21" ht="15" customHeight="1">
      <c r="A149" s="341" t="s">
        <v>302</v>
      </c>
      <c r="B149" s="342"/>
      <c r="C149" s="206" t="s">
        <v>261</v>
      </c>
      <c r="D149" s="207" t="s">
        <v>261</v>
      </c>
      <c r="E149" s="207" t="s">
        <v>261</v>
      </c>
      <c r="F149" s="207" t="s">
        <v>261</v>
      </c>
      <c r="G149" s="206" t="s">
        <v>261</v>
      </c>
      <c r="H149" s="209">
        <f aca="true" t="shared" si="39" ref="H149:Q149">H148</f>
        <v>19</v>
      </c>
      <c r="I149" s="209">
        <f t="shared" si="39"/>
        <v>3373.8</v>
      </c>
      <c r="J149" s="209">
        <f t="shared" si="39"/>
        <v>2535.9</v>
      </c>
      <c r="K149" s="209">
        <f t="shared" si="39"/>
        <v>2472.59</v>
      </c>
      <c r="L149" s="209">
        <f t="shared" si="39"/>
        <v>96</v>
      </c>
      <c r="M149" s="178">
        <f t="shared" si="39"/>
        <v>52114221.21000001</v>
      </c>
      <c r="N149" s="208">
        <f t="shared" si="39"/>
        <v>33773890.84</v>
      </c>
      <c r="O149" s="208">
        <f t="shared" si="39"/>
        <v>14474524.63</v>
      </c>
      <c r="P149" s="300">
        <f t="shared" si="39"/>
        <v>1395805.7400000002</v>
      </c>
      <c r="Q149" s="208">
        <f t="shared" si="39"/>
        <v>2470000</v>
      </c>
      <c r="R149" s="207" t="s">
        <v>261</v>
      </c>
      <c r="S149" s="207" t="s">
        <v>261</v>
      </c>
      <c r="T149" s="198">
        <f>T148+T130+T117+T113</f>
        <v>34551951024.479996</v>
      </c>
      <c r="U149" s="241">
        <f>T149-N149-O149</f>
        <v>34503702609.01</v>
      </c>
    </row>
    <row r="150" spans="1:21" ht="15" customHeight="1">
      <c r="A150" s="406" t="s">
        <v>448</v>
      </c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8"/>
      <c r="T150" s="198"/>
      <c r="U150" s="241"/>
    </row>
    <row r="151" spans="1:22" ht="15" customHeight="1">
      <c r="A151" s="195">
        <f>A147+1</f>
        <v>92</v>
      </c>
      <c r="B151" s="196" t="s">
        <v>449</v>
      </c>
      <c r="C151" s="205">
        <v>1994</v>
      </c>
      <c r="D151" s="281"/>
      <c r="E151" s="203" t="s">
        <v>463</v>
      </c>
      <c r="F151" s="194">
        <v>9</v>
      </c>
      <c r="G151" s="205">
        <v>2</v>
      </c>
      <c r="H151" s="182">
        <v>2</v>
      </c>
      <c r="I151" s="194">
        <v>4085.35</v>
      </c>
      <c r="J151" s="194">
        <v>4085.35</v>
      </c>
      <c r="K151" s="194">
        <v>4031.85</v>
      </c>
      <c r="L151" s="182">
        <v>153</v>
      </c>
      <c r="M151" s="198">
        <f>N151+O151+P151+Q151</f>
        <v>5467451.43</v>
      </c>
      <c r="N151" s="198">
        <v>3542367.16</v>
      </c>
      <c r="O151" s="198">
        <v>1518157.35</v>
      </c>
      <c r="P151" s="198">
        <v>146926.92</v>
      </c>
      <c r="Q151" s="198">
        <v>260000</v>
      </c>
      <c r="R151" s="199">
        <v>44195</v>
      </c>
      <c r="S151" s="216" t="s">
        <v>184</v>
      </c>
      <c r="T151" s="198"/>
      <c r="U151" s="241"/>
      <c r="V151" s="263"/>
    </row>
    <row r="152" spans="1:22" ht="15" customHeight="1">
      <c r="A152" s="195">
        <f>A151+1</f>
        <v>93</v>
      </c>
      <c r="B152" s="196" t="s">
        <v>450</v>
      </c>
      <c r="C152" s="205">
        <v>1994</v>
      </c>
      <c r="D152" s="281"/>
      <c r="E152" s="203" t="s">
        <v>463</v>
      </c>
      <c r="F152" s="194">
        <v>9</v>
      </c>
      <c r="G152" s="205">
        <v>2</v>
      </c>
      <c r="H152" s="182">
        <v>2</v>
      </c>
      <c r="I152" s="194">
        <v>4088.05</v>
      </c>
      <c r="J152" s="194">
        <v>4088.05</v>
      </c>
      <c r="K152" s="194">
        <v>4088.05</v>
      </c>
      <c r="L152" s="182">
        <v>159</v>
      </c>
      <c r="M152" s="198">
        <f>N152+O152+P152+Q152</f>
        <v>5467371.37</v>
      </c>
      <c r="N152" s="198">
        <v>3542311.11</v>
      </c>
      <c r="O152" s="198">
        <v>1518133.34</v>
      </c>
      <c r="P152" s="198">
        <v>146926.92</v>
      </c>
      <c r="Q152" s="198">
        <v>260000</v>
      </c>
      <c r="R152" s="199">
        <v>44195</v>
      </c>
      <c r="S152" s="216" t="s">
        <v>184</v>
      </c>
      <c r="T152" s="198"/>
      <c r="U152" s="241"/>
      <c r="V152" s="263"/>
    </row>
    <row r="153" spans="1:21" ht="15" customHeight="1">
      <c r="A153" s="370" t="s">
        <v>23</v>
      </c>
      <c r="B153" s="337"/>
      <c r="C153" s="214" t="s">
        <v>261</v>
      </c>
      <c r="D153" s="216" t="s">
        <v>261</v>
      </c>
      <c r="E153" s="216" t="s">
        <v>261</v>
      </c>
      <c r="F153" s="216" t="s">
        <v>261</v>
      </c>
      <c r="G153" s="216" t="s">
        <v>261</v>
      </c>
      <c r="H153" s="179">
        <f aca="true" t="shared" si="40" ref="H153:Q153">SUM(H151:H152)</f>
        <v>4</v>
      </c>
      <c r="I153" s="179">
        <f t="shared" si="40"/>
        <v>8173.4</v>
      </c>
      <c r="J153" s="179">
        <f t="shared" si="40"/>
        <v>8173.4</v>
      </c>
      <c r="K153" s="179">
        <f t="shared" si="40"/>
        <v>8119.9</v>
      </c>
      <c r="L153" s="179">
        <f t="shared" si="40"/>
        <v>312</v>
      </c>
      <c r="M153" s="198">
        <f t="shared" si="40"/>
        <v>10934822.8</v>
      </c>
      <c r="N153" s="198">
        <f t="shared" si="40"/>
        <v>7084678.27</v>
      </c>
      <c r="O153" s="198">
        <f t="shared" si="40"/>
        <v>3036290.6900000004</v>
      </c>
      <c r="P153" s="198">
        <f t="shared" si="40"/>
        <v>293853.84</v>
      </c>
      <c r="Q153" s="198">
        <f t="shared" si="40"/>
        <v>520000</v>
      </c>
      <c r="R153" s="216" t="s">
        <v>261</v>
      </c>
      <c r="S153" s="216" t="s">
        <v>261</v>
      </c>
      <c r="T153" s="198">
        <f>SUM(T136:T151)</f>
        <v>103655853073.43999</v>
      </c>
      <c r="U153" s="241">
        <f>T153-N153-O153</f>
        <v>103645732104.47998</v>
      </c>
    </row>
    <row r="154" spans="1:21" ht="15" customHeight="1">
      <c r="A154" s="341" t="s">
        <v>42</v>
      </c>
      <c r="B154" s="342"/>
      <c r="C154" s="214"/>
      <c r="D154" s="216"/>
      <c r="E154" s="216"/>
      <c r="F154" s="216"/>
      <c r="G154" s="216"/>
      <c r="H154" s="179"/>
      <c r="I154" s="179"/>
      <c r="J154" s="179"/>
      <c r="K154" s="179"/>
      <c r="L154" s="179"/>
      <c r="M154" s="208">
        <f>M153</f>
        <v>10934822.8</v>
      </c>
      <c r="N154" s="208">
        <f>N153</f>
        <v>7084678.27</v>
      </c>
      <c r="O154" s="208">
        <f>O153</f>
        <v>3036290.6900000004</v>
      </c>
      <c r="P154" s="208">
        <f>P153</f>
        <v>293853.84</v>
      </c>
      <c r="Q154" s="208">
        <f>Q153</f>
        <v>520000</v>
      </c>
      <c r="R154" s="216" t="s">
        <v>261</v>
      </c>
      <c r="S154" s="216" t="s">
        <v>261</v>
      </c>
      <c r="T154" s="198"/>
      <c r="U154" s="241"/>
    </row>
    <row r="155" spans="1:21" s="260" customFormat="1" ht="13.5">
      <c r="A155" s="365" t="s">
        <v>43</v>
      </c>
      <c r="B155" s="366"/>
      <c r="C155" s="206" t="s">
        <v>261</v>
      </c>
      <c r="D155" s="206" t="s">
        <v>261</v>
      </c>
      <c r="E155" s="207" t="s">
        <v>261</v>
      </c>
      <c r="F155" s="206" t="s">
        <v>261</v>
      </c>
      <c r="G155" s="206" t="s">
        <v>261</v>
      </c>
      <c r="H155" s="209">
        <f>H86+H29+H23+H100+H109+H123+H128+H137+H149+H153</f>
        <v>281</v>
      </c>
      <c r="I155" s="208">
        <f>I86+I29+I23+I100+I109+I123+I128+I137+I149+I153</f>
        <v>610380.8000000002</v>
      </c>
      <c r="J155" s="208">
        <f>J86+J29+J23+J100+J109+J123+J128+J137+J149+J153</f>
        <v>534741.1299999999</v>
      </c>
      <c r="K155" s="208">
        <f>K86+K29+K23+K100+K109+K123+K128+K137+K149+K153</f>
        <v>413612.30000000005</v>
      </c>
      <c r="L155" s="209">
        <f>L86+L29+L23+L100+L109+L123+L128+L137+L149+L153</f>
        <v>23338</v>
      </c>
      <c r="M155" s="208">
        <f>M86+M29+M23+M100+M109+M123+M128+M138+M149+M154</f>
        <v>770289296.0200002</v>
      </c>
      <c r="N155" s="208">
        <f>N86+N29+N23+N100+N109+N123+N128+N138+N149+N154</f>
        <v>499349055.65199995</v>
      </c>
      <c r="O155" s="208">
        <f>O86+O29+O23+O100+O109+O123+O128+O138+O149+O154</f>
        <v>214006738.138</v>
      </c>
      <c r="P155" s="208">
        <f>P86+P29+P23+P100+P109+P123+P128+P138+P149+P154</f>
        <v>20403502.23</v>
      </c>
      <c r="Q155" s="208">
        <f>Q86+Q29+Q23+Q100+Q109+Q123+Q128+Q138+Q149+Q154</f>
        <v>36530000</v>
      </c>
      <c r="R155" s="207" t="s">
        <v>261</v>
      </c>
      <c r="S155" s="207" t="s">
        <v>261</v>
      </c>
      <c r="T155" s="208">
        <f>T86+T29+T23</f>
        <v>494266758.56</v>
      </c>
      <c r="U155" s="241">
        <f>T155-N155-O155</f>
        <v>-219089035.22999996</v>
      </c>
    </row>
    <row r="156" spans="1:19" s="260" customFormat="1" ht="15" customHeight="1">
      <c r="A156" s="365" t="s">
        <v>322</v>
      </c>
      <c r="B156" s="366"/>
      <c r="C156" s="206"/>
      <c r="D156" s="206"/>
      <c r="E156" s="207"/>
      <c r="F156" s="206"/>
      <c r="G156" s="206"/>
      <c r="H156" s="207"/>
      <c r="I156" s="208"/>
      <c r="J156" s="208"/>
      <c r="K156" s="208"/>
      <c r="L156" s="210"/>
      <c r="M156" s="266">
        <f>(N155+O155)*0.0214</f>
        <v>15265813.987106</v>
      </c>
      <c r="N156" s="267"/>
      <c r="O156" s="208">
        <f>M156</f>
        <v>15265813.987106</v>
      </c>
      <c r="P156" s="208"/>
      <c r="Q156" s="208"/>
      <c r="R156" s="207"/>
      <c r="S156" s="208"/>
    </row>
    <row r="157" spans="1:20" s="260" customFormat="1" ht="15" customHeight="1">
      <c r="A157" s="365" t="s">
        <v>323</v>
      </c>
      <c r="B157" s="366"/>
      <c r="C157" s="206"/>
      <c r="D157" s="206"/>
      <c r="E157" s="207"/>
      <c r="F157" s="206"/>
      <c r="G157" s="206"/>
      <c r="H157" s="207"/>
      <c r="I157" s="208"/>
      <c r="J157" s="208"/>
      <c r="K157" s="208"/>
      <c r="L157" s="210"/>
      <c r="M157" s="208">
        <f>M156+M155</f>
        <v>785555110.0071062</v>
      </c>
      <c r="N157" s="208"/>
      <c r="O157" s="208">
        <f>SUM(O155:O156)</f>
        <v>229272552.125106</v>
      </c>
      <c r="P157" s="208">
        <f>SUM(P155:P156)</f>
        <v>20403502.23</v>
      </c>
      <c r="Q157" s="208">
        <f>SUM(Q155:Q156)</f>
        <v>36530000</v>
      </c>
      <c r="R157" s="207"/>
      <c r="S157" s="207"/>
      <c r="T157" s="208"/>
    </row>
  </sheetData>
  <sheetProtection/>
  <mergeCells count="48">
    <mergeCell ref="A150:S150"/>
    <mergeCell ref="A127:B127"/>
    <mergeCell ref="A154:B154"/>
    <mergeCell ref="A138:B138"/>
    <mergeCell ref="A153:B153"/>
    <mergeCell ref="A128:B128"/>
    <mergeCell ref="A129:S129"/>
    <mergeCell ref="A137:B137"/>
    <mergeCell ref="A139:S139"/>
    <mergeCell ref="A148:B148"/>
    <mergeCell ref="A149:B149"/>
    <mergeCell ref="A12:A15"/>
    <mergeCell ref="A110:S110"/>
    <mergeCell ref="A116:B116"/>
    <mergeCell ref="A123:B123"/>
    <mergeCell ref="A122:B122"/>
    <mergeCell ref="A124:S124"/>
    <mergeCell ref="J13:J14"/>
    <mergeCell ref="A99:B99"/>
    <mergeCell ref="A100:B100"/>
    <mergeCell ref="N12:O13"/>
    <mergeCell ref="A87:S87"/>
    <mergeCell ref="P12:P13"/>
    <mergeCell ref="A24:S24"/>
    <mergeCell ref="S12:S15"/>
    <mergeCell ref="R12:R15"/>
    <mergeCell ref="A17:S17"/>
    <mergeCell ref="I12:I14"/>
    <mergeCell ref="A156:B156"/>
    <mergeCell ref="A157:B157"/>
    <mergeCell ref="B12:B15"/>
    <mergeCell ref="E12:E15"/>
    <mergeCell ref="F12:F15"/>
    <mergeCell ref="G12:G15"/>
    <mergeCell ref="C12:D15"/>
    <mergeCell ref="A101:S101"/>
    <mergeCell ref="L12:L14"/>
    <mergeCell ref="H12:H15"/>
    <mergeCell ref="A10:S10"/>
    <mergeCell ref="A11:S11"/>
    <mergeCell ref="A155:B155"/>
    <mergeCell ref="A86:B86"/>
    <mergeCell ref="A30:S30"/>
    <mergeCell ref="A85:B85"/>
    <mergeCell ref="J12:K12"/>
    <mergeCell ref="K13:K14"/>
    <mergeCell ref="A108:B108"/>
    <mergeCell ref="A109:B109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4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P149"/>
  <sheetViews>
    <sheetView view="pageBreakPreview" zoomScale="70" zoomScaleNormal="90" zoomScaleSheetLayoutView="7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39" sqref="J139"/>
    </sheetView>
  </sheetViews>
  <sheetFormatPr defaultColWidth="9.28125" defaultRowHeight="15"/>
  <cols>
    <col min="1" max="1" width="6.7109375" style="242" customWidth="1"/>
    <col min="2" max="2" width="51.140625" style="242" customWidth="1"/>
    <col min="3" max="3" width="11.421875" style="269" hidden="1" customWidth="1"/>
    <col min="4" max="4" width="15.421875" style="270" hidden="1" customWidth="1"/>
    <col min="5" max="5" width="8.00390625" style="270" hidden="1" customWidth="1"/>
    <col min="6" max="6" width="11.8515625" style="224" hidden="1" customWidth="1"/>
    <col min="7" max="7" width="12.00390625" style="271" hidden="1" customWidth="1"/>
    <col min="8" max="8" width="17.7109375" style="224" customWidth="1"/>
    <col min="9" max="9" width="18.140625" style="224" customWidth="1"/>
    <col min="10" max="10" width="17.57421875" style="224" customWidth="1"/>
    <col min="11" max="11" width="14.28125" style="270" customWidth="1"/>
    <col min="12" max="12" width="13.28125" style="270" customWidth="1"/>
    <col min="13" max="13" width="23.7109375" style="272" hidden="1" customWidth="1"/>
    <col min="14" max="14" width="19.28125" style="242" hidden="1" customWidth="1"/>
    <col min="15" max="15" width="16.00390625" style="242" customWidth="1"/>
    <col min="16" max="16" width="15.00390625" style="242" customWidth="1"/>
    <col min="17" max="23" width="9.28125" style="242" customWidth="1"/>
    <col min="24" max="16384" width="9.28125" style="242" customWidth="1"/>
  </cols>
  <sheetData>
    <row r="4" spans="1:13" s="232" customFormat="1" ht="14.25" customHeight="1">
      <c r="A4" s="364" t="s">
        <v>558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231"/>
    </row>
    <row r="5" spans="1:13" s="232" customFormat="1" ht="45.75" customHeight="1">
      <c r="A5" s="375" t="s">
        <v>1</v>
      </c>
      <c r="B5" s="375" t="s">
        <v>0</v>
      </c>
      <c r="C5" s="381" t="s">
        <v>2</v>
      </c>
      <c r="D5" s="409" t="s">
        <v>3</v>
      </c>
      <c r="E5" s="375" t="s">
        <v>4</v>
      </c>
      <c r="F5" s="412" t="s">
        <v>6</v>
      </c>
      <c r="G5" s="415" t="s">
        <v>8</v>
      </c>
      <c r="H5" s="233"/>
      <c r="I5" s="371" t="s">
        <v>529</v>
      </c>
      <c r="J5" s="393"/>
      <c r="K5" s="400" t="s">
        <v>9</v>
      </c>
      <c r="L5" s="400" t="s">
        <v>10</v>
      </c>
      <c r="M5" s="231"/>
    </row>
    <row r="6" spans="1:13" s="232" customFormat="1" ht="65.25" customHeight="1">
      <c r="A6" s="376"/>
      <c r="B6" s="376"/>
      <c r="C6" s="383"/>
      <c r="D6" s="410"/>
      <c r="E6" s="376"/>
      <c r="F6" s="413"/>
      <c r="G6" s="416"/>
      <c r="H6" s="234" t="s">
        <v>394</v>
      </c>
      <c r="I6" s="394"/>
      <c r="J6" s="395"/>
      <c r="K6" s="401"/>
      <c r="L6" s="401"/>
      <c r="M6" s="231"/>
    </row>
    <row r="7" spans="1:13" s="232" customFormat="1" ht="48" customHeight="1">
      <c r="A7" s="376"/>
      <c r="B7" s="376"/>
      <c r="C7" s="383"/>
      <c r="D7" s="410"/>
      <c r="E7" s="376"/>
      <c r="F7" s="414"/>
      <c r="G7" s="417"/>
      <c r="H7" s="235"/>
      <c r="I7" s="236" t="s">
        <v>376</v>
      </c>
      <c r="J7" s="236" t="s">
        <v>377</v>
      </c>
      <c r="K7" s="401"/>
      <c r="L7" s="401"/>
      <c r="M7" s="237" t="s">
        <v>376</v>
      </c>
    </row>
    <row r="8" spans="1:13" s="232" customFormat="1" ht="15">
      <c r="A8" s="377"/>
      <c r="B8" s="377"/>
      <c r="C8" s="385"/>
      <c r="D8" s="411"/>
      <c r="E8" s="377"/>
      <c r="F8" s="201" t="s">
        <v>15</v>
      </c>
      <c r="G8" s="238" t="s">
        <v>16</v>
      </c>
      <c r="H8" s="201" t="s">
        <v>17</v>
      </c>
      <c r="I8" s="201" t="s">
        <v>17</v>
      </c>
      <c r="J8" s="201" t="s">
        <v>17</v>
      </c>
      <c r="K8" s="402"/>
      <c r="L8" s="402"/>
      <c r="M8" s="193" t="s">
        <v>17</v>
      </c>
    </row>
    <row r="9" spans="1:13" s="240" customFormat="1" ht="15">
      <c r="A9" s="239">
        <v>1</v>
      </c>
      <c r="B9" s="239">
        <v>2</v>
      </c>
      <c r="C9" s="239">
        <v>3</v>
      </c>
      <c r="D9" s="239">
        <v>5</v>
      </c>
      <c r="E9" s="239">
        <v>6</v>
      </c>
      <c r="F9" s="198">
        <v>9</v>
      </c>
      <c r="G9" s="189">
        <v>12</v>
      </c>
      <c r="H9" s="179">
        <v>13</v>
      </c>
      <c r="I9" s="179">
        <v>14</v>
      </c>
      <c r="J9" s="179">
        <v>15</v>
      </c>
      <c r="K9" s="179">
        <v>18</v>
      </c>
      <c r="L9" s="179">
        <v>19</v>
      </c>
      <c r="M9" s="195">
        <v>13</v>
      </c>
    </row>
    <row r="10" spans="1:14" ht="15" customHeight="1">
      <c r="A10" s="387" t="s">
        <v>471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9"/>
      <c r="M10" s="194"/>
      <c r="N10" s="241"/>
    </row>
    <row r="11" spans="1:14" ht="15" customHeight="1">
      <c r="A11" s="243" t="s">
        <v>472</v>
      </c>
      <c r="B11" s="213"/>
      <c r="C11" s="214"/>
      <c r="D11" s="216"/>
      <c r="E11" s="216"/>
      <c r="F11" s="208"/>
      <c r="G11" s="210"/>
      <c r="H11" s="208"/>
      <c r="I11" s="208"/>
      <c r="J11" s="208"/>
      <c r="K11" s="207"/>
      <c r="L11" s="207"/>
      <c r="M11" s="194"/>
      <c r="N11" s="241"/>
    </row>
    <row r="12" spans="1:16" ht="15" customHeight="1">
      <c r="A12" s="195">
        <v>1</v>
      </c>
      <c r="B12" s="244" t="s">
        <v>473</v>
      </c>
      <c r="C12" s="245">
        <v>1983</v>
      </c>
      <c r="D12" s="216" t="s">
        <v>451</v>
      </c>
      <c r="E12" s="216">
        <v>5</v>
      </c>
      <c r="F12" s="198">
        <v>2875.4</v>
      </c>
      <c r="G12" s="189">
        <v>249</v>
      </c>
      <c r="H12" s="198">
        <f>I12+J12</f>
        <v>16162078.8</v>
      </c>
      <c r="I12" s="198">
        <f>M12*0.7</f>
        <v>11313455.16</v>
      </c>
      <c r="J12" s="198">
        <f>M12*0.3</f>
        <v>4848623.64</v>
      </c>
      <c r="K12" s="199">
        <v>44560</v>
      </c>
      <c r="L12" s="216" t="s">
        <v>184</v>
      </c>
      <c r="M12" s="246">
        <v>16162078.8</v>
      </c>
      <c r="N12" s="241"/>
      <c r="O12" s="324"/>
      <c r="P12" s="324"/>
    </row>
    <row r="13" spans="1:16" ht="15" customHeight="1">
      <c r="A13" s="370" t="s">
        <v>23</v>
      </c>
      <c r="B13" s="337"/>
      <c r="C13" s="214" t="s">
        <v>261</v>
      </c>
      <c r="D13" s="216" t="s">
        <v>261</v>
      </c>
      <c r="E13" s="216" t="s">
        <v>261</v>
      </c>
      <c r="F13" s="198">
        <f>SUM(F12:F12)</f>
        <v>2875.4</v>
      </c>
      <c r="G13" s="189">
        <f>G12</f>
        <v>249</v>
      </c>
      <c r="H13" s="180">
        <f>SUM(H12:H12)</f>
        <v>16162078.8</v>
      </c>
      <c r="I13" s="198">
        <f>SUM(I12:I12)</f>
        <v>11313455.16</v>
      </c>
      <c r="J13" s="198">
        <f>SUM(J12:J12)</f>
        <v>4848623.64</v>
      </c>
      <c r="K13" s="216" t="s">
        <v>261</v>
      </c>
      <c r="L13" s="216" t="s">
        <v>261</v>
      </c>
      <c r="M13" s="194"/>
      <c r="N13" s="241">
        <f>M13-I13-J13</f>
        <v>-16162078.8</v>
      </c>
      <c r="O13" s="324"/>
      <c r="P13" s="324"/>
    </row>
    <row r="14" spans="1:16" ht="15" customHeight="1">
      <c r="A14" s="341" t="s">
        <v>474</v>
      </c>
      <c r="B14" s="342"/>
      <c r="C14" s="206" t="s">
        <v>261</v>
      </c>
      <c r="D14" s="207" t="s">
        <v>261</v>
      </c>
      <c r="E14" s="207" t="s">
        <v>261</v>
      </c>
      <c r="F14" s="208">
        <f>F13</f>
        <v>2875.4</v>
      </c>
      <c r="G14" s="210">
        <f>G13</f>
        <v>249</v>
      </c>
      <c r="H14" s="178">
        <f>H13</f>
        <v>16162078.8</v>
      </c>
      <c r="I14" s="178">
        <f>I13</f>
        <v>11313455.16</v>
      </c>
      <c r="J14" s="178">
        <f>J13</f>
        <v>4848623.64</v>
      </c>
      <c r="K14" s="207" t="s">
        <v>261</v>
      </c>
      <c r="L14" s="207" t="s">
        <v>261</v>
      </c>
      <c r="M14" s="194"/>
      <c r="N14" s="241">
        <f>M14-I14-J14</f>
        <v>-16162078.8</v>
      </c>
      <c r="O14" s="324"/>
      <c r="P14" s="324"/>
    </row>
    <row r="15" spans="1:16" s="219" customFormat="1" ht="15" customHeight="1">
      <c r="A15" s="367" t="s">
        <v>24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9"/>
      <c r="M15" s="247"/>
      <c r="N15" s="241">
        <f>M15-I15-J15</f>
        <v>0</v>
      </c>
      <c r="O15" s="324"/>
      <c r="P15" s="324"/>
    </row>
    <row r="16" spans="1:16" s="219" customFormat="1" ht="15">
      <c r="A16" s="248" t="s">
        <v>545</v>
      </c>
      <c r="B16" s="196"/>
      <c r="C16" s="214"/>
      <c r="D16" s="216"/>
      <c r="E16" s="179"/>
      <c r="F16" s="201"/>
      <c r="G16" s="238"/>
      <c r="H16" s="201"/>
      <c r="I16" s="201"/>
      <c r="J16" s="201"/>
      <c r="K16" s="214"/>
      <c r="L16" s="214"/>
      <c r="M16" s="193"/>
      <c r="N16" s="241"/>
      <c r="O16" s="324"/>
      <c r="P16" s="324"/>
    </row>
    <row r="17" spans="1:16" s="219" customFormat="1" ht="15">
      <c r="A17" s="195">
        <f>A12+1</f>
        <v>2</v>
      </c>
      <c r="B17" s="196" t="s">
        <v>552</v>
      </c>
      <c r="C17" s="320">
        <v>1962</v>
      </c>
      <c r="D17" s="218" t="s">
        <v>530</v>
      </c>
      <c r="E17" s="179">
        <v>2</v>
      </c>
      <c r="F17" s="322">
        <v>530.5</v>
      </c>
      <c r="G17" s="238">
        <v>28</v>
      </c>
      <c r="H17" s="193">
        <v>6279120</v>
      </c>
      <c r="I17" s="198">
        <f aca="true" t="shared" si="0" ref="I17:I22">M17*0.7</f>
        <v>4395384</v>
      </c>
      <c r="J17" s="198">
        <f aca="true" t="shared" si="1" ref="J17:J22">M17*0.3</f>
        <v>1883736</v>
      </c>
      <c r="K17" s="199">
        <v>44560</v>
      </c>
      <c r="L17" s="321" t="s">
        <v>184</v>
      </c>
      <c r="M17" s="193">
        <v>6279120</v>
      </c>
      <c r="N17" s="241"/>
      <c r="O17" s="324"/>
      <c r="P17" s="324"/>
    </row>
    <row r="18" spans="1:16" s="219" customFormat="1" ht="15">
      <c r="A18" s="195">
        <f>A17+1</f>
        <v>3</v>
      </c>
      <c r="B18" s="196" t="s">
        <v>546</v>
      </c>
      <c r="C18" s="214">
        <v>1961</v>
      </c>
      <c r="D18" s="218" t="s">
        <v>530</v>
      </c>
      <c r="E18" s="179">
        <v>2</v>
      </c>
      <c r="F18" s="201">
        <v>465</v>
      </c>
      <c r="G18" s="238">
        <v>20</v>
      </c>
      <c r="H18" s="198">
        <f>I18+J18</f>
        <v>6279120</v>
      </c>
      <c r="I18" s="198">
        <f t="shared" si="0"/>
        <v>4395384</v>
      </c>
      <c r="J18" s="198">
        <f t="shared" si="1"/>
        <v>1883736</v>
      </c>
      <c r="K18" s="199">
        <v>44560</v>
      </c>
      <c r="L18" s="216" t="s">
        <v>184</v>
      </c>
      <c r="M18" s="193">
        <v>6279120</v>
      </c>
      <c r="N18" s="241"/>
      <c r="O18" s="324"/>
      <c r="P18" s="324"/>
    </row>
    <row r="19" spans="1:16" s="219" customFormat="1" ht="15">
      <c r="A19" s="195">
        <f>A18+1</f>
        <v>4</v>
      </c>
      <c r="B19" s="196" t="s">
        <v>547</v>
      </c>
      <c r="C19" s="214">
        <v>1960</v>
      </c>
      <c r="D19" s="218" t="s">
        <v>530</v>
      </c>
      <c r="E19" s="179">
        <v>2</v>
      </c>
      <c r="F19" s="201">
        <v>465</v>
      </c>
      <c r="G19" s="238">
        <v>33</v>
      </c>
      <c r="H19" s="198">
        <f>I19+J19</f>
        <v>6279120</v>
      </c>
      <c r="I19" s="198">
        <f t="shared" si="0"/>
        <v>4395384</v>
      </c>
      <c r="J19" s="198">
        <f t="shared" si="1"/>
        <v>1883736</v>
      </c>
      <c r="K19" s="199">
        <v>44560</v>
      </c>
      <c r="L19" s="216" t="s">
        <v>184</v>
      </c>
      <c r="M19" s="193">
        <v>6279120</v>
      </c>
      <c r="N19" s="241"/>
      <c r="O19" s="324"/>
      <c r="P19" s="324"/>
    </row>
    <row r="20" spans="1:16" s="219" customFormat="1" ht="15">
      <c r="A20" s="195">
        <f>A19+1</f>
        <v>5</v>
      </c>
      <c r="B20" s="196" t="s">
        <v>548</v>
      </c>
      <c r="C20" s="214">
        <v>1960</v>
      </c>
      <c r="D20" s="218" t="s">
        <v>530</v>
      </c>
      <c r="E20" s="179">
        <v>2</v>
      </c>
      <c r="F20" s="201">
        <v>466</v>
      </c>
      <c r="G20" s="238">
        <v>18</v>
      </c>
      <c r="H20" s="198">
        <f>I20+J20</f>
        <v>6279120</v>
      </c>
      <c r="I20" s="198">
        <f t="shared" si="0"/>
        <v>4395384</v>
      </c>
      <c r="J20" s="198">
        <f t="shared" si="1"/>
        <v>1883736</v>
      </c>
      <c r="K20" s="199">
        <v>44560</v>
      </c>
      <c r="L20" s="216" t="s">
        <v>184</v>
      </c>
      <c r="M20" s="193">
        <v>6279120</v>
      </c>
      <c r="N20" s="241"/>
      <c r="O20" s="324"/>
      <c r="P20" s="324"/>
    </row>
    <row r="21" spans="1:16" s="219" customFormat="1" ht="15">
      <c r="A21" s="195">
        <f>A20+1</f>
        <v>6</v>
      </c>
      <c r="B21" s="196" t="s">
        <v>551</v>
      </c>
      <c r="C21" s="214">
        <v>1957</v>
      </c>
      <c r="D21" s="218" t="s">
        <v>530</v>
      </c>
      <c r="E21" s="179">
        <v>2</v>
      </c>
      <c r="F21" s="201">
        <v>889.8</v>
      </c>
      <c r="G21" s="238">
        <v>18</v>
      </c>
      <c r="H21" s="198">
        <f>I21+J21</f>
        <v>6593075.999999999</v>
      </c>
      <c r="I21" s="198">
        <f t="shared" si="0"/>
        <v>4615153.199999999</v>
      </c>
      <c r="J21" s="198">
        <f t="shared" si="1"/>
        <v>1977922.7999999998</v>
      </c>
      <c r="K21" s="199">
        <v>44560</v>
      </c>
      <c r="L21" s="216" t="s">
        <v>184</v>
      </c>
      <c r="M21" s="193">
        <v>6593076</v>
      </c>
      <c r="N21" s="241"/>
      <c r="O21" s="324"/>
      <c r="P21" s="324"/>
    </row>
    <row r="22" spans="1:16" s="219" customFormat="1" ht="15">
      <c r="A22" s="195">
        <f>A21+1</f>
        <v>7</v>
      </c>
      <c r="B22" s="196" t="s">
        <v>553</v>
      </c>
      <c r="C22" s="320">
        <v>1964</v>
      </c>
      <c r="D22" s="218" t="s">
        <v>530</v>
      </c>
      <c r="E22" s="179">
        <v>2</v>
      </c>
      <c r="F22" s="322">
        <v>485.6</v>
      </c>
      <c r="G22" s="238">
        <v>25</v>
      </c>
      <c r="H22" s="193">
        <v>6279120</v>
      </c>
      <c r="I22" s="198">
        <f t="shared" si="0"/>
        <v>4395384</v>
      </c>
      <c r="J22" s="198">
        <f t="shared" si="1"/>
        <v>1883736</v>
      </c>
      <c r="K22" s="199">
        <v>44560</v>
      </c>
      <c r="L22" s="321" t="s">
        <v>184</v>
      </c>
      <c r="M22" s="193">
        <v>6279120</v>
      </c>
      <c r="N22" s="241"/>
      <c r="O22" s="324"/>
      <c r="P22" s="324"/>
    </row>
    <row r="23" spans="1:16" s="219" customFormat="1" ht="15">
      <c r="A23" s="200" t="s">
        <v>23</v>
      </c>
      <c r="B23" s="196"/>
      <c r="C23" s="214" t="s">
        <v>261</v>
      </c>
      <c r="D23" s="216" t="s">
        <v>261</v>
      </c>
      <c r="E23" s="216" t="s">
        <v>261</v>
      </c>
      <c r="F23" s="322">
        <f>SUM(F17:F22)</f>
        <v>3301.9</v>
      </c>
      <c r="G23" s="322">
        <f>SUM(G17:G22)</f>
        <v>142</v>
      </c>
      <c r="H23" s="322">
        <f>SUM(H17:H22)</f>
        <v>37988676</v>
      </c>
      <c r="I23" s="201">
        <f>SUM(I17:I22)</f>
        <v>26592073.2</v>
      </c>
      <c r="J23" s="322">
        <f>SUM(J17:J22)</f>
        <v>11396602.8</v>
      </c>
      <c r="K23" s="214" t="s">
        <v>261</v>
      </c>
      <c r="L23" s="214" t="s">
        <v>261</v>
      </c>
      <c r="M23" s="193"/>
      <c r="N23" s="241">
        <f>M23-I23-J23</f>
        <v>-37988676</v>
      </c>
      <c r="O23" s="324"/>
      <c r="P23" s="324"/>
    </row>
    <row r="24" spans="1:16" s="219" customFormat="1" ht="15">
      <c r="A24" s="249" t="s">
        <v>528</v>
      </c>
      <c r="B24" s="250"/>
      <c r="C24" s="206"/>
      <c r="D24" s="206"/>
      <c r="E24" s="206"/>
      <c r="F24" s="222"/>
      <c r="G24" s="251"/>
      <c r="H24" s="252"/>
      <c r="I24" s="241"/>
      <c r="J24" s="241"/>
      <c r="K24" s="206"/>
      <c r="L24" s="206"/>
      <c r="M24" s="247"/>
      <c r="N24" s="241">
        <f>M24-I24-J24</f>
        <v>0</v>
      </c>
      <c r="O24" s="324"/>
      <c r="P24" s="324"/>
    </row>
    <row r="25" spans="1:16" s="219" customFormat="1" ht="15">
      <c r="A25" s="195">
        <f>A22+1</f>
        <v>8</v>
      </c>
      <c r="B25" s="244" t="s">
        <v>464</v>
      </c>
      <c r="C25" s="214">
        <v>1960</v>
      </c>
      <c r="D25" s="218" t="s">
        <v>530</v>
      </c>
      <c r="E25" s="218">
        <v>2</v>
      </c>
      <c r="F25" s="218">
        <v>877.5</v>
      </c>
      <c r="G25" s="221">
        <v>27</v>
      </c>
      <c r="H25" s="198">
        <f aca="true" t="shared" si="2" ref="H25:H31">I25+J25</f>
        <v>5806519.2</v>
      </c>
      <c r="I25" s="198">
        <f aca="true" t="shared" si="3" ref="I25:I31">M25*0.7</f>
        <v>4064563.44</v>
      </c>
      <c r="J25" s="198">
        <f aca="true" t="shared" si="4" ref="J25:J31">M25*0.3</f>
        <v>1741955.76</v>
      </c>
      <c r="K25" s="199">
        <v>44560</v>
      </c>
      <c r="L25" s="216" t="s">
        <v>184</v>
      </c>
      <c r="M25" s="246">
        <v>5806519.2</v>
      </c>
      <c r="N25" s="241">
        <f>M25-I25-J25</f>
        <v>0</v>
      </c>
      <c r="O25" s="324"/>
      <c r="P25" s="324"/>
    </row>
    <row r="26" spans="1:16" s="219" customFormat="1" ht="15">
      <c r="A26" s="195">
        <f aca="true" t="shared" si="5" ref="A26:A31">A25+1</f>
        <v>9</v>
      </c>
      <c r="B26" s="244" t="s">
        <v>537</v>
      </c>
      <c r="C26" s="214">
        <v>1964</v>
      </c>
      <c r="D26" s="218" t="s">
        <v>550</v>
      </c>
      <c r="E26" s="218">
        <v>4</v>
      </c>
      <c r="F26" s="225">
        <v>2047</v>
      </c>
      <c r="G26" s="221">
        <v>144</v>
      </c>
      <c r="H26" s="198">
        <f t="shared" si="2"/>
        <v>15876431.999999998</v>
      </c>
      <c r="I26" s="198">
        <f t="shared" si="3"/>
        <v>11113502.399999999</v>
      </c>
      <c r="J26" s="198">
        <f t="shared" si="4"/>
        <v>4762929.6</v>
      </c>
      <c r="K26" s="199">
        <v>44560</v>
      </c>
      <c r="L26" s="216" t="s">
        <v>184</v>
      </c>
      <c r="M26" s="198">
        <v>15876432</v>
      </c>
      <c r="N26" s="241"/>
      <c r="O26" s="324"/>
      <c r="P26" s="324"/>
    </row>
    <row r="27" spans="1:16" s="219" customFormat="1" ht="15">
      <c r="A27" s="195">
        <f t="shared" si="5"/>
        <v>10</v>
      </c>
      <c r="B27" s="244" t="s">
        <v>470</v>
      </c>
      <c r="C27" s="214">
        <v>1977</v>
      </c>
      <c r="D27" s="214" t="s">
        <v>530</v>
      </c>
      <c r="E27" s="214">
        <v>9</v>
      </c>
      <c r="F27" s="201">
        <v>3348</v>
      </c>
      <c r="G27" s="238">
        <v>139</v>
      </c>
      <c r="H27" s="198">
        <f t="shared" si="2"/>
        <v>39029562</v>
      </c>
      <c r="I27" s="198">
        <f t="shared" si="3"/>
        <v>27320693.4</v>
      </c>
      <c r="J27" s="198">
        <f t="shared" si="4"/>
        <v>11708868.6</v>
      </c>
      <c r="K27" s="199">
        <v>44560</v>
      </c>
      <c r="L27" s="216" t="s">
        <v>184</v>
      </c>
      <c r="M27" s="246">
        <v>39029562</v>
      </c>
      <c r="N27" s="241"/>
      <c r="O27" s="324"/>
      <c r="P27" s="324"/>
    </row>
    <row r="28" spans="1:16" s="219" customFormat="1" ht="15">
      <c r="A28" s="195">
        <f t="shared" si="5"/>
        <v>11</v>
      </c>
      <c r="B28" s="244" t="s">
        <v>467</v>
      </c>
      <c r="C28" s="220">
        <v>1959</v>
      </c>
      <c r="D28" s="218" t="s">
        <v>530</v>
      </c>
      <c r="E28" s="218">
        <v>2</v>
      </c>
      <c r="F28" s="218">
        <v>1396.6</v>
      </c>
      <c r="G28" s="221">
        <v>46</v>
      </c>
      <c r="H28" s="198">
        <f t="shared" si="2"/>
        <v>6215910</v>
      </c>
      <c r="I28" s="198">
        <f t="shared" si="3"/>
        <v>4351137</v>
      </c>
      <c r="J28" s="198">
        <f t="shared" si="4"/>
        <v>1864773</v>
      </c>
      <c r="K28" s="199">
        <v>44560</v>
      </c>
      <c r="L28" s="216" t="s">
        <v>184</v>
      </c>
      <c r="M28" s="246">
        <v>6215910</v>
      </c>
      <c r="N28" s="241">
        <f aca="true" t="shared" si="6" ref="N28:N37">M28-I28-J28</f>
        <v>0</v>
      </c>
      <c r="O28" s="324"/>
      <c r="P28" s="324"/>
    </row>
    <row r="29" spans="1:16" s="219" customFormat="1" ht="15">
      <c r="A29" s="195">
        <f t="shared" si="5"/>
        <v>12</v>
      </c>
      <c r="B29" s="244" t="s">
        <v>468</v>
      </c>
      <c r="C29" s="220">
        <v>1958</v>
      </c>
      <c r="D29" s="218" t="s">
        <v>530</v>
      </c>
      <c r="E29" s="218">
        <v>2</v>
      </c>
      <c r="F29" s="218">
        <v>875.5</v>
      </c>
      <c r="G29" s="221">
        <v>36</v>
      </c>
      <c r="H29" s="198">
        <f t="shared" si="2"/>
        <v>6954223.2</v>
      </c>
      <c r="I29" s="198">
        <f t="shared" si="3"/>
        <v>4867956.24</v>
      </c>
      <c r="J29" s="198">
        <f t="shared" si="4"/>
        <v>2086266.96</v>
      </c>
      <c r="K29" s="199">
        <v>44560</v>
      </c>
      <c r="L29" s="216" t="s">
        <v>184</v>
      </c>
      <c r="M29" s="246">
        <v>6954223.2</v>
      </c>
      <c r="N29" s="241">
        <f t="shared" si="6"/>
        <v>0</v>
      </c>
      <c r="O29" s="324"/>
      <c r="P29" s="324"/>
    </row>
    <row r="30" spans="1:16" s="219" customFormat="1" ht="15">
      <c r="A30" s="195">
        <f t="shared" si="5"/>
        <v>13</v>
      </c>
      <c r="B30" s="244" t="s">
        <v>465</v>
      </c>
      <c r="C30" s="220">
        <v>1957</v>
      </c>
      <c r="D30" s="218" t="s">
        <v>530</v>
      </c>
      <c r="E30" s="218">
        <v>2</v>
      </c>
      <c r="F30" s="218">
        <v>1433.8</v>
      </c>
      <c r="G30" s="221">
        <v>63</v>
      </c>
      <c r="H30" s="198">
        <f t="shared" si="2"/>
        <v>6292295.999999999</v>
      </c>
      <c r="I30" s="198">
        <f t="shared" si="3"/>
        <v>4404607.199999999</v>
      </c>
      <c r="J30" s="198">
        <f t="shared" si="4"/>
        <v>1887688.7999999998</v>
      </c>
      <c r="K30" s="199">
        <v>44560</v>
      </c>
      <c r="L30" s="216" t="s">
        <v>184</v>
      </c>
      <c r="M30" s="246">
        <v>6292296</v>
      </c>
      <c r="N30" s="241">
        <f t="shared" si="6"/>
        <v>0</v>
      </c>
      <c r="O30" s="324"/>
      <c r="P30" s="324"/>
    </row>
    <row r="31" spans="1:16" s="219" customFormat="1" ht="15">
      <c r="A31" s="195">
        <f t="shared" si="5"/>
        <v>14</v>
      </c>
      <c r="B31" s="244" t="s">
        <v>466</v>
      </c>
      <c r="C31" s="220">
        <v>1958</v>
      </c>
      <c r="D31" s="218" t="s">
        <v>530</v>
      </c>
      <c r="E31" s="218">
        <v>2</v>
      </c>
      <c r="F31" s="218">
        <v>897</v>
      </c>
      <c r="G31" s="221">
        <v>27</v>
      </c>
      <c r="H31" s="198">
        <f t="shared" si="2"/>
        <v>7026417.6</v>
      </c>
      <c r="I31" s="198">
        <f t="shared" si="3"/>
        <v>4918492.319999999</v>
      </c>
      <c r="J31" s="198">
        <f t="shared" si="4"/>
        <v>2107925.28</v>
      </c>
      <c r="K31" s="199">
        <v>44560</v>
      </c>
      <c r="L31" s="216" t="s">
        <v>184</v>
      </c>
      <c r="M31" s="246">
        <v>7026417.6</v>
      </c>
      <c r="N31" s="241">
        <f t="shared" si="6"/>
        <v>0</v>
      </c>
      <c r="O31" s="324"/>
      <c r="P31" s="324"/>
    </row>
    <row r="32" spans="1:16" s="219" customFormat="1" ht="15">
      <c r="A32" s="200" t="s">
        <v>23</v>
      </c>
      <c r="B32" s="196"/>
      <c r="C32" s="214" t="s">
        <v>261</v>
      </c>
      <c r="D32" s="216" t="s">
        <v>261</v>
      </c>
      <c r="E32" s="216" t="s">
        <v>261</v>
      </c>
      <c r="F32" s="201">
        <f>SUM(F25:F31)</f>
        <v>10875.4</v>
      </c>
      <c r="G32" s="238">
        <f>SUM(G25:G31)</f>
        <v>482</v>
      </c>
      <c r="H32" s="201">
        <f>SUM(H25:H31)</f>
        <v>87201360</v>
      </c>
      <c r="I32" s="201">
        <f>SUM(I25:I31)</f>
        <v>61040951.99999999</v>
      </c>
      <c r="J32" s="201">
        <f>SUM(J25:J31)</f>
        <v>26160408.000000004</v>
      </c>
      <c r="K32" s="214" t="s">
        <v>261</v>
      </c>
      <c r="L32" s="214" t="s">
        <v>261</v>
      </c>
      <c r="M32" s="193"/>
      <c r="N32" s="241">
        <f t="shared" si="6"/>
        <v>-87201360</v>
      </c>
      <c r="O32" s="324"/>
      <c r="P32" s="324"/>
    </row>
    <row r="33" spans="1:16" s="219" customFormat="1" ht="15">
      <c r="A33" s="249" t="s">
        <v>469</v>
      </c>
      <c r="B33" s="196"/>
      <c r="C33" s="206"/>
      <c r="D33" s="206"/>
      <c r="E33" s="206"/>
      <c r="F33" s="222"/>
      <c r="G33" s="251"/>
      <c r="H33" s="222"/>
      <c r="I33" s="222"/>
      <c r="J33" s="222"/>
      <c r="K33" s="214"/>
      <c r="L33" s="214"/>
      <c r="M33" s="253"/>
      <c r="N33" s="241">
        <f t="shared" si="6"/>
        <v>0</v>
      </c>
      <c r="O33" s="324"/>
      <c r="P33" s="324"/>
    </row>
    <row r="34" spans="1:16" s="219" customFormat="1" ht="15">
      <c r="A34" s="195">
        <f>A31+1</f>
        <v>15</v>
      </c>
      <c r="B34" s="196" t="s">
        <v>522</v>
      </c>
      <c r="C34" s="220">
        <v>1955</v>
      </c>
      <c r="D34" s="203" t="s">
        <v>530</v>
      </c>
      <c r="E34" s="203">
        <v>2</v>
      </c>
      <c r="F34" s="203">
        <v>560</v>
      </c>
      <c r="G34" s="197">
        <v>18</v>
      </c>
      <c r="H34" s="198">
        <f>I34+J34</f>
        <v>4323637.2</v>
      </c>
      <c r="I34" s="198">
        <f>M34*0.7</f>
        <v>3026546.04</v>
      </c>
      <c r="J34" s="198">
        <f>M34*0.3</f>
        <v>1297091.16</v>
      </c>
      <c r="K34" s="199">
        <v>44560</v>
      </c>
      <c r="L34" s="216" t="s">
        <v>184</v>
      </c>
      <c r="M34" s="193">
        <v>4323637.2</v>
      </c>
      <c r="N34" s="241">
        <f t="shared" si="6"/>
        <v>0</v>
      </c>
      <c r="O34" s="324"/>
      <c r="P34" s="324"/>
    </row>
    <row r="35" spans="1:16" s="219" customFormat="1" ht="15">
      <c r="A35" s="195">
        <f>A34+1</f>
        <v>16</v>
      </c>
      <c r="B35" s="196" t="s">
        <v>554</v>
      </c>
      <c r="C35" s="220">
        <v>1970</v>
      </c>
      <c r="D35" s="203"/>
      <c r="E35" s="203">
        <v>2</v>
      </c>
      <c r="F35" s="203">
        <v>970.2</v>
      </c>
      <c r="G35" s="197">
        <v>46</v>
      </c>
      <c r="H35" s="198">
        <f>I35+J35</f>
        <v>6861199.199999999</v>
      </c>
      <c r="I35" s="198">
        <f>M35*0.7</f>
        <v>4802839.4399999995</v>
      </c>
      <c r="J35" s="198">
        <f>M35*0.3</f>
        <v>2058359.76</v>
      </c>
      <c r="K35" s="199">
        <v>44560</v>
      </c>
      <c r="L35" s="321" t="s">
        <v>184</v>
      </c>
      <c r="M35" s="193">
        <v>6861199.2</v>
      </c>
      <c r="N35" s="241"/>
      <c r="O35" s="324"/>
      <c r="P35" s="324"/>
    </row>
    <row r="36" spans="1:16" s="219" customFormat="1" ht="15">
      <c r="A36" s="200" t="s">
        <v>23</v>
      </c>
      <c r="B36" s="196"/>
      <c r="C36" s="214" t="s">
        <v>261</v>
      </c>
      <c r="D36" s="216" t="s">
        <v>261</v>
      </c>
      <c r="E36" s="179" t="s">
        <v>261</v>
      </c>
      <c r="F36" s="322">
        <f>SUM(F34:F35)</f>
        <v>1530.2</v>
      </c>
      <c r="G36" s="322">
        <f>SUM(G34:G35)</f>
        <v>64</v>
      </c>
      <c r="H36" s="201">
        <f>SUM(H34:H35)</f>
        <v>11184836.399999999</v>
      </c>
      <c r="I36" s="322">
        <f>SUM(I34:I35)</f>
        <v>7829385.4799999995</v>
      </c>
      <c r="J36" s="322">
        <f>SUM(J34:J35)</f>
        <v>3355450.92</v>
      </c>
      <c r="K36" s="214" t="s">
        <v>261</v>
      </c>
      <c r="L36" s="214" t="s">
        <v>261</v>
      </c>
      <c r="M36" s="193"/>
      <c r="N36" s="241">
        <f t="shared" si="6"/>
        <v>-11184836.399999999</v>
      </c>
      <c r="O36" s="324"/>
      <c r="P36" s="324"/>
    </row>
    <row r="37" spans="1:16" ht="15" customHeight="1">
      <c r="A37" s="362" t="s">
        <v>25</v>
      </c>
      <c r="B37" s="362"/>
      <c r="C37" s="206" t="s">
        <v>261</v>
      </c>
      <c r="D37" s="207" t="s">
        <v>261</v>
      </c>
      <c r="E37" s="207" t="s">
        <v>261</v>
      </c>
      <c r="F37" s="208">
        <f>F36+F32+F23</f>
        <v>15707.5</v>
      </c>
      <c r="G37" s="208">
        <f>G36+G32+G23</f>
        <v>688</v>
      </c>
      <c r="H37" s="208">
        <f>H36+H32+H23</f>
        <v>136374872.4</v>
      </c>
      <c r="I37" s="208">
        <f>I36+I32+I23</f>
        <v>95462410.67999999</v>
      </c>
      <c r="J37" s="208">
        <f>J36+J32+J23</f>
        <v>40912461.72</v>
      </c>
      <c r="K37" s="207" t="s">
        <v>261</v>
      </c>
      <c r="L37" s="207" t="s">
        <v>261</v>
      </c>
      <c r="M37" s="194"/>
      <c r="N37" s="241">
        <f t="shared" si="6"/>
        <v>-136374872.39999998</v>
      </c>
      <c r="O37" s="324"/>
      <c r="P37" s="324"/>
    </row>
    <row r="38" spans="1:16" ht="15" customHeight="1">
      <c r="A38" s="387" t="s">
        <v>475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9"/>
      <c r="M38" s="194"/>
      <c r="N38" s="241"/>
      <c r="O38" s="324"/>
      <c r="P38" s="324"/>
    </row>
    <row r="39" spans="1:16" ht="15" customHeight="1">
      <c r="A39" s="419" t="s">
        <v>539</v>
      </c>
      <c r="B39" s="420"/>
      <c r="C39" s="206"/>
      <c r="D39" s="207"/>
      <c r="E39" s="207"/>
      <c r="F39" s="208"/>
      <c r="G39" s="210"/>
      <c r="H39" s="208"/>
      <c r="I39" s="208"/>
      <c r="J39" s="208"/>
      <c r="K39" s="207"/>
      <c r="L39" s="207"/>
      <c r="M39" s="194"/>
      <c r="N39" s="241"/>
      <c r="O39" s="324"/>
      <c r="P39" s="324"/>
    </row>
    <row r="40" spans="1:16" ht="15" customHeight="1">
      <c r="A40" s="195">
        <f>A35+1</f>
        <v>17</v>
      </c>
      <c r="B40" s="181" t="s">
        <v>538</v>
      </c>
      <c r="C40" s="214">
        <v>1940</v>
      </c>
      <c r="D40" s="255" t="s">
        <v>530</v>
      </c>
      <c r="E40" s="207">
        <v>4</v>
      </c>
      <c r="F40" s="198">
        <v>636.1</v>
      </c>
      <c r="G40" s="210">
        <v>29</v>
      </c>
      <c r="H40" s="198">
        <f>I40+J40</f>
        <v>11516427</v>
      </c>
      <c r="I40" s="198">
        <f>M40*0.7</f>
        <v>8061498.899999999</v>
      </c>
      <c r="J40" s="198">
        <f>M40*0.3</f>
        <v>3454928.1</v>
      </c>
      <c r="K40" s="199">
        <v>44560</v>
      </c>
      <c r="L40" s="216" t="s">
        <v>184</v>
      </c>
      <c r="M40" s="194">
        <v>11516427</v>
      </c>
      <c r="N40" s="241"/>
      <c r="O40" s="324"/>
      <c r="P40" s="324"/>
    </row>
    <row r="41" spans="1:16" s="219" customFormat="1" ht="15">
      <c r="A41" s="200" t="s">
        <v>23</v>
      </c>
      <c r="B41" s="196"/>
      <c r="C41" s="214" t="s">
        <v>261</v>
      </c>
      <c r="D41" s="216" t="s">
        <v>261</v>
      </c>
      <c r="E41" s="179" t="s">
        <v>261</v>
      </c>
      <c r="F41" s="238">
        <f>F40</f>
        <v>636.1</v>
      </c>
      <c r="G41" s="238">
        <f>G40</f>
        <v>29</v>
      </c>
      <c r="H41" s="201">
        <f>SUM(H40:H40)</f>
        <v>11516427</v>
      </c>
      <c r="I41" s="201">
        <f>SUM(I40:I40)</f>
        <v>8061498.899999999</v>
      </c>
      <c r="J41" s="201">
        <f>SUM(J40:J40)</f>
        <v>3454928.1</v>
      </c>
      <c r="K41" s="214" t="s">
        <v>261</v>
      </c>
      <c r="L41" s="214" t="s">
        <v>261</v>
      </c>
      <c r="M41" s="193"/>
      <c r="N41" s="241">
        <f>M41-I41-J41</f>
        <v>-11516427</v>
      </c>
      <c r="O41" s="324"/>
      <c r="P41" s="324"/>
    </row>
    <row r="42" spans="1:16" s="219" customFormat="1" ht="15">
      <c r="A42" s="422" t="s">
        <v>540</v>
      </c>
      <c r="B42" s="423"/>
      <c r="C42" s="214"/>
      <c r="D42" s="216"/>
      <c r="E42" s="179"/>
      <c r="F42" s="201"/>
      <c r="G42" s="238"/>
      <c r="H42" s="201"/>
      <c r="I42" s="201"/>
      <c r="J42" s="201"/>
      <c r="K42" s="214"/>
      <c r="L42" s="214"/>
      <c r="M42" s="193"/>
      <c r="N42" s="241"/>
      <c r="O42" s="324"/>
      <c r="P42" s="324"/>
    </row>
    <row r="43" spans="1:16" s="219" customFormat="1" ht="15">
      <c r="A43" s="195">
        <f>A40+1</f>
        <v>18</v>
      </c>
      <c r="B43" s="256" t="s">
        <v>541</v>
      </c>
      <c r="C43" s="220">
        <v>1980</v>
      </c>
      <c r="D43" s="220" t="s">
        <v>183</v>
      </c>
      <c r="E43" s="179">
        <v>5</v>
      </c>
      <c r="F43" s="201">
        <v>4446.5</v>
      </c>
      <c r="G43" s="238">
        <v>235</v>
      </c>
      <c r="H43" s="198">
        <f>I43+J43</f>
        <v>11159608.2</v>
      </c>
      <c r="I43" s="198">
        <f>M43*0.7</f>
        <v>7811725.739999999</v>
      </c>
      <c r="J43" s="198">
        <f>M43*0.3</f>
        <v>3347882.4599999995</v>
      </c>
      <c r="K43" s="199">
        <v>44560</v>
      </c>
      <c r="L43" s="216" t="s">
        <v>184</v>
      </c>
      <c r="M43" s="193">
        <v>11159608.2</v>
      </c>
      <c r="N43" s="241"/>
      <c r="O43" s="324"/>
      <c r="P43" s="324"/>
    </row>
    <row r="44" spans="1:16" s="219" customFormat="1" ht="15">
      <c r="A44" s="200" t="s">
        <v>23</v>
      </c>
      <c r="B44" s="196"/>
      <c r="C44" s="214" t="s">
        <v>261</v>
      </c>
      <c r="D44" s="216" t="s">
        <v>261</v>
      </c>
      <c r="E44" s="179" t="s">
        <v>261</v>
      </c>
      <c r="F44" s="201">
        <f>SUM(F43:F43)</f>
        <v>4446.5</v>
      </c>
      <c r="G44" s="238">
        <f>G43</f>
        <v>235</v>
      </c>
      <c r="H44" s="201">
        <f>SUM(H43:H43)</f>
        <v>11159608.2</v>
      </c>
      <c r="I44" s="201">
        <f>SUM(I43:I43)</f>
        <v>7811725.739999999</v>
      </c>
      <c r="J44" s="201">
        <f>SUM(J43:J43)</f>
        <v>3347882.4599999995</v>
      </c>
      <c r="K44" s="214" t="s">
        <v>261</v>
      </c>
      <c r="L44" s="214" t="s">
        <v>261</v>
      </c>
      <c r="M44" s="193"/>
      <c r="N44" s="241">
        <f>M44-I44-J44</f>
        <v>-11159608.2</v>
      </c>
      <c r="O44" s="324"/>
      <c r="P44" s="324"/>
    </row>
    <row r="45" spans="1:16" ht="15" customHeight="1">
      <c r="A45" s="243" t="s">
        <v>476</v>
      </c>
      <c r="B45" s="217"/>
      <c r="C45" s="206"/>
      <c r="D45" s="207"/>
      <c r="E45" s="207"/>
      <c r="F45" s="208"/>
      <c r="G45" s="210"/>
      <c r="H45" s="208"/>
      <c r="I45" s="208"/>
      <c r="J45" s="208"/>
      <c r="K45" s="207"/>
      <c r="L45" s="207"/>
      <c r="M45" s="194"/>
      <c r="N45" s="241">
        <f aca="true" t="shared" si="7" ref="N45:N108">M45-I45-J45</f>
        <v>0</v>
      </c>
      <c r="O45" s="324"/>
      <c r="P45" s="324"/>
    </row>
    <row r="46" spans="1:16" ht="15" customHeight="1">
      <c r="A46" s="195">
        <f>A43+1</f>
        <v>19</v>
      </c>
      <c r="B46" s="244" t="s">
        <v>477</v>
      </c>
      <c r="C46" s="220">
        <v>1978</v>
      </c>
      <c r="D46" s="218" t="s">
        <v>531</v>
      </c>
      <c r="E46" s="218">
        <v>5</v>
      </c>
      <c r="F46" s="218">
        <v>4419</v>
      </c>
      <c r="G46" s="221">
        <v>209</v>
      </c>
      <c r="H46" s="198">
        <f aca="true" t="shared" si="8" ref="H46:H51">I46+J46</f>
        <v>23508231.6</v>
      </c>
      <c r="I46" s="198">
        <f aca="true" t="shared" si="9" ref="I46:I51">M46*0.7</f>
        <v>16455762.12</v>
      </c>
      <c r="J46" s="198">
        <f aca="true" t="shared" si="10" ref="J46:J51">M46*0.3</f>
        <v>7052469.48</v>
      </c>
      <c r="K46" s="199">
        <v>44560</v>
      </c>
      <c r="L46" s="216" t="s">
        <v>184</v>
      </c>
      <c r="M46" s="246">
        <v>23508231.6</v>
      </c>
      <c r="N46" s="241">
        <f t="shared" si="7"/>
        <v>0</v>
      </c>
      <c r="O46" s="324"/>
      <c r="P46" s="324"/>
    </row>
    <row r="47" spans="1:16" ht="15" customHeight="1">
      <c r="A47" s="195">
        <f>A46+1</f>
        <v>20</v>
      </c>
      <c r="B47" s="244" t="s">
        <v>478</v>
      </c>
      <c r="C47" s="220">
        <v>1979</v>
      </c>
      <c r="D47" s="218" t="s">
        <v>183</v>
      </c>
      <c r="E47" s="218">
        <v>5</v>
      </c>
      <c r="F47" s="218">
        <v>4446.3</v>
      </c>
      <c r="G47" s="221">
        <v>221</v>
      </c>
      <c r="H47" s="198">
        <f t="shared" si="8"/>
        <v>22596505.2</v>
      </c>
      <c r="I47" s="198">
        <f t="shared" si="9"/>
        <v>15817553.639999999</v>
      </c>
      <c r="J47" s="198">
        <f t="shared" si="10"/>
        <v>6778951.56</v>
      </c>
      <c r="K47" s="199">
        <v>44560</v>
      </c>
      <c r="L47" s="216" t="s">
        <v>184</v>
      </c>
      <c r="M47" s="246">
        <v>22596505.2</v>
      </c>
      <c r="N47" s="241">
        <f t="shared" si="7"/>
        <v>0</v>
      </c>
      <c r="O47" s="324"/>
      <c r="P47" s="324"/>
    </row>
    <row r="48" spans="1:16" ht="15" customHeight="1">
      <c r="A48" s="195">
        <f>A47+1</f>
        <v>21</v>
      </c>
      <c r="B48" s="244" t="s">
        <v>479</v>
      </c>
      <c r="C48" s="220">
        <v>1960</v>
      </c>
      <c r="D48" s="218" t="s">
        <v>530</v>
      </c>
      <c r="E48" s="218">
        <v>3</v>
      </c>
      <c r="F48" s="218">
        <v>1511.4</v>
      </c>
      <c r="G48" s="221">
        <v>178</v>
      </c>
      <c r="H48" s="198">
        <f t="shared" si="8"/>
        <v>9950824.8</v>
      </c>
      <c r="I48" s="198">
        <f t="shared" si="9"/>
        <v>6965577.36</v>
      </c>
      <c r="J48" s="198">
        <f t="shared" si="10"/>
        <v>2985247.44</v>
      </c>
      <c r="K48" s="199">
        <v>44560</v>
      </c>
      <c r="L48" s="216" t="s">
        <v>184</v>
      </c>
      <c r="M48" s="246">
        <v>9950824.8</v>
      </c>
      <c r="N48" s="241">
        <f t="shared" si="7"/>
        <v>0</v>
      </c>
      <c r="O48" s="324"/>
      <c r="P48" s="324"/>
    </row>
    <row r="49" spans="1:16" ht="15" customHeight="1">
      <c r="A49" s="195">
        <f>A48+1</f>
        <v>22</v>
      </c>
      <c r="B49" s="244" t="s">
        <v>480</v>
      </c>
      <c r="C49" s="220">
        <v>1973</v>
      </c>
      <c r="D49" s="218" t="s">
        <v>530</v>
      </c>
      <c r="E49" s="218">
        <v>5</v>
      </c>
      <c r="F49" s="218">
        <v>3984.2</v>
      </c>
      <c r="G49" s="221">
        <v>208</v>
      </c>
      <c r="H49" s="198">
        <f t="shared" si="8"/>
        <v>15537726</v>
      </c>
      <c r="I49" s="198">
        <f t="shared" si="9"/>
        <v>10876408.2</v>
      </c>
      <c r="J49" s="198">
        <f t="shared" si="10"/>
        <v>4661317.8</v>
      </c>
      <c r="K49" s="199">
        <v>44560</v>
      </c>
      <c r="L49" s="216" t="s">
        <v>184</v>
      </c>
      <c r="M49" s="246">
        <v>15537726</v>
      </c>
      <c r="N49" s="241">
        <f t="shared" si="7"/>
        <v>0</v>
      </c>
      <c r="O49" s="324"/>
      <c r="P49" s="324"/>
    </row>
    <row r="50" spans="1:16" ht="15" customHeight="1">
      <c r="A50" s="195">
        <f>A49+1</f>
        <v>23</v>
      </c>
      <c r="B50" s="244" t="s">
        <v>481</v>
      </c>
      <c r="C50" s="220">
        <v>1971</v>
      </c>
      <c r="D50" s="218" t="s">
        <v>530</v>
      </c>
      <c r="E50" s="218">
        <v>5</v>
      </c>
      <c r="F50" s="218">
        <v>6015.29</v>
      </c>
      <c r="G50" s="221">
        <v>292</v>
      </c>
      <c r="H50" s="198">
        <f t="shared" si="8"/>
        <v>29354882.399999995</v>
      </c>
      <c r="I50" s="198">
        <f t="shared" si="9"/>
        <v>20548417.679999996</v>
      </c>
      <c r="J50" s="198">
        <f t="shared" si="10"/>
        <v>8806464.719999999</v>
      </c>
      <c r="K50" s="199">
        <v>44560</v>
      </c>
      <c r="L50" s="216" t="s">
        <v>184</v>
      </c>
      <c r="M50" s="246">
        <v>29354882.4</v>
      </c>
      <c r="N50" s="241">
        <f t="shared" si="7"/>
        <v>0</v>
      </c>
      <c r="O50" s="324"/>
      <c r="P50" s="324"/>
    </row>
    <row r="51" spans="1:16" ht="15" customHeight="1">
      <c r="A51" s="195">
        <f>A50+1</f>
        <v>24</v>
      </c>
      <c r="B51" s="244" t="s">
        <v>482</v>
      </c>
      <c r="C51" s="220">
        <v>1978</v>
      </c>
      <c r="D51" s="226" t="s">
        <v>183</v>
      </c>
      <c r="E51" s="226">
        <v>5</v>
      </c>
      <c r="F51" s="226">
        <v>4836.27</v>
      </c>
      <c r="G51" s="228">
        <v>279</v>
      </c>
      <c r="H51" s="198">
        <f t="shared" si="8"/>
        <v>26737789.199999996</v>
      </c>
      <c r="I51" s="198">
        <f t="shared" si="9"/>
        <v>18716452.439999998</v>
      </c>
      <c r="J51" s="198">
        <f t="shared" si="10"/>
        <v>8021336.76</v>
      </c>
      <c r="K51" s="199">
        <v>44560</v>
      </c>
      <c r="L51" s="216" t="s">
        <v>184</v>
      </c>
      <c r="M51" s="246">
        <v>26737789.2</v>
      </c>
      <c r="N51" s="241">
        <f t="shared" si="7"/>
        <v>0</v>
      </c>
      <c r="O51" s="324"/>
      <c r="P51" s="324"/>
    </row>
    <row r="52" spans="1:16" s="219" customFormat="1" ht="15">
      <c r="A52" s="200" t="s">
        <v>23</v>
      </c>
      <c r="B52" s="196"/>
      <c r="C52" s="214" t="s">
        <v>261</v>
      </c>
      <c r="D52" s="216" t="s">
        <v>261</v>
      </c>
      <c r="E52" s="216" t="s">
        <v>261</v>
      </c>
      <c r="F52" s="201">
        <f>SUM(F46:F51)</f>
        <v>25212.46</v>
      </c>
      <c r="G52" s="238">
        <f>SUM(G46:G51)</f>
        <v>1387</v>
      </c>
      <c r="H52" s="201">
        <f>SUM(H46:H51)</f>
        <v>127685959.19999999</v>
      </c>
      <c r="I52" s="201">
        <f>SUM(I46:I51)</f>
        <v>89380171.43999998</v>
      </c>
      <c r="J52" s="201">
        <f>SUM(J46:J51)</f>
        <v>38305787.76</v>
      </c>
      <c r="K52" s="214" t="s">
        <v>261</v>
      </c>
      <c r="L52" s="214" t="s">
        <v>261</v>
      </c>
      <c r="M52" s="193"/>
      <c r="N52" s="241">
        <f t="shared" si="7"/>
        <v>-127685959.19999999</v>
      </c>
      <c r="O52" s="324"/>
      <c r="P52" s="324"/>
    </row>
    <row r="53" spans="1:16" ht="15" customHeight="1">
      <c r="A53" s="418" t="s">
        <v>483</v>
      </c>
      <c r="B53" s="418"/>
      <c r="C53" s="206"/>
      <c r="D53" s="207"/>
      <c r="E53" s="207"/>
      <c r="F53" s="208"/>
      <c r="G53" s="210"/>
      <c r="H53" s="208"/>
      <c r="I53" s="208"/>
      <c r="J53" s="208"/>
      <c r="K53" s="207"/>
      <c r="L53" s="207"/>
      <c r="M53" s="194"/>
      <c r="N53" s="241">
        <f t="shared" si="7"/>
        <v>0</v>
      </c>
      <c r="O53" s="324"/>
      <c r="P53" s="324"/>
    </row>
    <row r="54" spans="1:16" ht="15" customHeight="1">
      <c r="A54" s="195">
        <f>A51+1</f>
        <v>25</v>
      </c>
      <c r="B54" s="244" t="s">
        <v>484</v>
      </c>
      <c r="C54" s="220">
        <v>1967</v>
      </c>
      <c r="D54" s="218" t="s">
        <v>530</v>
      </c>
      <c r="E54" s="218">
        <v>5</v>
      </c>
      <c r="F54" s="218">
        <v>3427.7</v>
      </c>
      <c r="G54" s="221">
        <v>145</v>
      </c>
      <c r="H54" s="198">
        <f>I54+J54</f>
        <v>17158788.239999995</v>
      </c>
      <c r="I54" s="198">
        <f>M54*0.7</f>
        <v>12011151.767999997</v>
      </c>
      <c r="J54" s="198">
        <f>M54*0.3</f>
        <v>5147636.471999999</v>
      </c>
      <c r="K54" s="199">
        <v>44560</v>
      </c>
      <c r="L54" s="216" t="s">
        <v>184</v>
      </c>
      <c r="M54" s="246">
        <v>17158788.24</v>
      </c>
      <c r="N54" s="241">
        <f t="shared" si="7"/>
        <v>0</v>
      </c>
      <c r="O54" s="324"/>
      <c r="P54" s="324"/>
    </row>
    <row r="55" spans="1:16" s="219" customFormat="1" ht="15">
      <c r="A55" s="200" t="s">
        <v>23</v>
      </c>
      <c r="B55" s="196"/>
      <c r="C55" s="214" t="s">
        <v>261</v>
      </c>
      <c r="D55" s="216" t="s">
        <v>261</v>
      </c>
      <c r="E55" s="216" t="s">
        <v>261</v>
      </c>
      <c r="F55" s="238">
        <f>SUM(F54)</f>
        <v>3427.7</v>
      </c>
      <c r="G55" s="238">
        <f>SUM(G54)</f>
        <v>145</v>
      </c>
      <c r="H55" s="201">
        <f>SUM(H54:H54)</f>
        <v>17158788.239999995</v>
      </c>
      <c r="I55" s="201">
        <f>SUM(I54:I54)</f>
        <v>12011151.767999997</v>
      </c>
      <c r="J55" s="201">
        <f>SUM(J54:J54)</f>
        <v>5147636.471999999</v>
      </c>
      <c r="K55" s="214" t="s">
        <v>261</v>
      </c>
      <c r="L55" s="214" t="s">
        <v>261</v>
      </c>
      <c r="M55" s="193"/>
      <c r="N55" s="241">
        <f t="shared" si="7"/>
        <v>-17158788.239999995</v>
      </c>
      <c r="O55" s="324"/>
      <c r="P55" s="324"/>
    </row>
    <row r="56" spans="1:16" ht="15" customHeight="1">
      <c r="A56" s="362" t="s">
        <v>27</v>
      </c>
      <c r="B56" s="362"/>
      <c r="C56" s="206" t="s">
        <v>261</v>
      </c>
      <c r="D56" s="207" t="s">
        <v>261</v>
      </c>
      <c r="E56" s="207" t="s">
        <v>261</v>
      </c>
      <c r="F56" s="208">
        <f>F55+F52+F44+F41</f>
        <v>33722.76</v>
      </c>
      <c r="G56" s="208">
        <f>G55+G52+G44+G41</f>
        <v>1796</v>
      </c>
      <c r="H56" s="208">
        <f>H55+H52+H44+H41</f>
        <v>167520782.64</v>
      </c>
      <c r="I56" s="208">
        <f>I55+I52+I44+I41</f>
        <v>117264547.84799998</v>
      </c>
      <c r="J56" s="208">
        <f>J55+J52+J44+J41</f>
        <v>50256234.791999996</v>
      </c>
      <c r="K56" s="207" t="s">
        <v>261</v>
      </c>
      <c r="L56" s="207" t="s">
        <v>261</v>
      </c>
      <c r="M56" s="194"/>
      <c r="N56" s="241">
        <f t="shared" si="7"/>
        <v>-167520782.64</v>
      </c>
      <c r="O56" s="324"/>
      <c r="P56" s="324"/>
    </row>
    <row r="57" spans="1:16" ht="15" customHeight="1">
      <c r="A57" s="421" t="s">
        <v>414</v>
      </c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194"/>
      <c r="N57" s="241">
        <f t="shared" si="7"/>
        <v>0</v>
      </c>
      <c r="O57" s="324"/>
      <c r="P57" s="324"/>
    </row>
    <row r="58" spans="1:16" ht="15" customHeight="1">
      <c r="A58" s="211" t="s">
        <v>485</v>
      </c>
      <c r="B58" s="217"/>
      <c r="C58" s="214"/>
      <c r="D58" s="216"/>
      <c r="E58" s="216"/>
      <c r="F58" s="208"/>
      <c r="G58" s="210"/>
      <c r="H58" s="198"/>
      <c r="I58" s="208"/>
      <c r="J58" s="208"/>
      <c r="K58" s="207"/>
      <c r="L58" s="207"/>
      <c r="M58" s="194"/>
      <c r="N58" s="241">
        <f t="shared" si="7"/>
        <v>0</v>
      </c>
      <c r="O58" s="324"/>
      <c r="P58" s="324"/>
    </row>
    <row r="59" spans="1:16" ht="15" customHeight="1">
      <c r="A59" s="195">
        <f>A54+1</f>
        <v>26</v>
      </c>
      <c r="B59" s="244" t="s">
        <v>486</v>
      </c>
      <c r="C59" s="220">
        <v>1967</v>
      </c>
      <c r="D59" s="194" t="s">
        <v>185</v>
      </c>
      <c r="E59" s="182">
        <v>2</v>
      </c>
      <c r="F59" s="194">
        <v>391.6</v>
      </c>
      <c r="G59" s="205">
        <v>20</v>
      </c>
      <c r="H59" s="198">
        <f>I59+J59</f>
        <v>3248517.5</v>
      </c>
      <c r="I59" s="198">
        <f>M59*0.7</f>
        <v>2273962.25</v>
      </c>
      <c r="J59" s="198">
        <f>M59*0.3</f>
        <v>974555.25</v>
      </c>
      <c r="K59" s="199">
        <v>44560</v>
      </c>
      <c r="L59" s="216" t="s">
        <v>184</v>
      </c>
      <c r="M59" s="246">
        <v>3248517.5</v>
      </c>
      <c r="N59" s="241">
        <f t="shared" si="7"/>
        <v>0</v>
      </c>
      <c r="O59" s="324"/>
      <c r="P59" s="324"/>
    </row>
    <row r="60" spans="1:16" ht="15" customHeight="1">
      <c r="A60" s="348" t="s">
        <v>23</v>
      </c>
      <c r="B60" s="348"/>
      <c r="C60" s="214" t="s">
        <v>261</v>
      </c>
      <c r="D60" s="216" t="s">
        <v>261</v>
      </c>
      <c r="E60" s="216" t="s">
        <v>261</v>
      </c>
      <c r="F60" s="198">
        <f>SUM(F59:F59)</f>
        <v>391.6</v>
      </c>
      <c r="G60" s="198">
        <f>SUM(G59:G59)</f>
        <v>20</v>
      </c>
      <c r="H60" s="198">
        <f>SUM(H59:H59)</f>
        <v>3248517.5</v>
      </c>
      <c r="I60" s="198">
        <f>SUM(I59:I59)</f>
        <v>2273962.25</v>
      </c>
      <c r="J60" s="198">
        <f>SUM(J59:J59)</f>
        <v>974555.25</v>
      </c>
      <c r="K60" s="207" t="s">
        <v>261</v>
      </c>
      <c r="L60" s="207" t="s">
        <v>261</v>
      </c>
      <c r="M60" s="194"/>
      <c r="N60" s="241">
        <f t="shared" si="7"/>
        <v>-3248517.5</v>
      </c>
      <c r="O60" s="324"/>
      <c r="P60" s="324"/>
    </row>
    <row r="61" spans="1:16" ht="15" customHeight="1">
      <c r="A61" s="211" t="s">
        <v>487</v>
      </c>
      <c r="B61" s="215"/>
      <c r="C61" s="214"/>
      <c r="D61" s="216"/>
      <c r="E61" s="216"/>
      <c r="F61" s="198"/>
      <c r="G61" s="189"/>
      <c r="H61" s="198"/>
      <c r="I61" s="198"/>
      <c r="J61" s="198"/>
      <c r="K61" s="199"/>
      <c r="L61" s="216"/>
      <c r="M61" s="194"/>
      <c r="N61" s="241">
        <f t="shared" si="7"/>
        <v>0</v>
      </c>
      <c r="O61" s="324"/>
      <c r="P61" s="324"/>
    </row>
    <row r="62" spans="1:16" ht="15" customHeight="1">
      <c r="A62" s="195">
        <f>A59+1</f>
        <v>27</v>
      </c>
      <c r="B62" s="181" t="s">
        <v>488</v>
      </c>
      <c r="C62" s="220">
        <v>1950</v>
      </c>
      <c r="D62" s="223" t="s">
        <v>532</v>
      </c>
      <c r="E62" s="205">
        <v>2</v>
      </c>
      <c r="F62" s="223">
        <v>508.7</v>
      </c>
      <c r="G62" s="205">
        <v>27</v>
      </c>
      <c r="H62" s="198">
        <f>I62+J62</f>
        <v>4735755.639999999</v>
      </c>
      <c r="I62" s="198">
        <f>M62*0.7</f>
        <v>3315028.9479999994</v>
      </c>
      <c r="J62" s="198">
        <f>M62*0.3</f>
        <v>1420726.6919999998</v>
      </c>
      <c r="K62" s="199">
        <v>44560</v>
      </c>
      <c r="L62" s="216" t="s">
        <v>184</v>
      </c>
      <c r="M62" s="246">
        <v>4735755.64</v>
      </c>
      <c r="N62" s="241">
        <f t="shared" si="7"/>
        <v>0</v>
      </c>
      <c r="O62" s="324"/>
      <c r="P62" s="324"/>
    </row>
    <row r="63" spans="1:16" ht="15" customHeight="1">
      <c r="A63" s="348" t="s">
        <v>23</v>
      </c>
      <c r="B63" s="348"/>
      <c r="C63" s="214" t="s">
        <v>261</v>
      </c>
      <c r="D63" s="216" t="s">
        <v>261</v>
      </c>
      <c r="E63" s="216" t="s">
        <v>261</v>
      </c>
      <c r="F63" s="198">
        <f>SUM(F62:F62)</f>
        <v>508.7</v>
      </c>
      <c r="G63" s="198">
        <f>SUM(G62:G62)</f>
        <v>27</v>
      </c>
      <c r="H63" s="198">
        <f>SUM(H62:H62)</f>
        <v>4735755.639999999</v>
      </c>
      <c r="I63" s="198">
        <f>SUM(I62:I62)</f>
        <v>3315028.9479999994</v>
      </c>
      <c r="J63" s="198">
        <f>SUM(J62:J62)</f>
        <v>1420726.6919999998</v>
      </c>
      <c r="K63" s="207" t="s">
        <v>261</v>
      </c>
      <c r="L63" s="207" t="s">
        <v>261</v>
      </c>
      <c r="M63" s="194"/>
      <c r="N63" s="241">
        <f t="shared" si="7"/>
        <v>-4735755.639999999</v>
      </c>
      <c r="O63" s="324"/>
      <c r="P63" s="324"/>
    </row>
    <row r="64" spans="1:16" ht="15" customHeight="1">
      <c r="A64" s="211" t="s">
        <v>526</v>
      </c>
      <c r="B64" s="215"/>
      <c r="C64" s="214"/>
      <c r="D64" s="216"/>
      <c r="E64" s="216"/>
      <c r="F64" s="198"/>
      <c r="G64" s="189"/>
      <c r="H64" s="198"/>
      <c r="I64" s="198"/>
      <c r="J64" s="198"/>
      <c r="K64" s="207"/>
      <c r="L64" s="207"/>
      <c r="M64" s="194"/>
      <c r="N64" s="241">
        <f t="shared" si="7"/>
        <v>0</v>
      </c>
      <c r="O64" s="324"/>
      <c r="P64" s="324"/>
    </row>
    <row r="65" spans="1:16" ht="15" customHeight="1">
      <c r="A65" s="195">
        <f>A62+1</f>
        <v>28</v>
      </c>
      <c r="B65" s="181" t="s">
        <v>527</v>
      </c>
      <c r="C65" s="220">
        <v>1948</v>
      </c>
      <c r="D65" s="194" t="s">
        <v>532</v>
      </c>
      <c r="E65" s="182">
        <v>2</v>
      </c>
      <c r="F65" s="194">
        <v>488.6</v>
      </c>
      <c r="G65" s="205">
        <v>34</v>
      </c>
      <c r="H65" s="198">
        <f>I65+J65</f>
        <v>4709732.4</v>
      </c>
      <c r="I65" s="198">
        <f>M65*0.7</f>
        <v>3296812.68</v>
      </c>
      <c r="J65" s="198">
        <f>M65*0.3</f>
        <v>1412919.72</v>
      </c>
      <c r="K65" s="199">
        <v>44560</v>
      </c>
      <c r="L65" s="216" t="s">
        <v>184</v>
      </c>
      <c r="M65" s="176">
        <v>4709732.4</v>
      </c>
      <c r="N65" s="241">
        <f t="shared" si="7"/>
        <v>0</v>
      </c>
      <c r="O65" s="324"/>
      <c r="P65" s="324"/>
    </row>
    <row r="66" spans="1:16" ht="15" customHeight="1">
      <c r="A66" s="348" t="s">
        <v>23</v>
      </c>
      <c r="B66" s="348"/>
      <c r="C66" s="214" t="s">
        <v>261</v>
      </c>
      <c r="D66" s="216" t="s">
        <v>261</v>
      </c>
      <c r="E66" s="216" t="s">
        <v>261</v>
      </c>
      <c r="F66" s="198">
        <f>SUM(F65:F65)</f>
        <v>488.6</v>
      </c>
      <c r="G66" s="198">
        <f>SUM(G65:G65)</f>
        <v>34</v>
      </c>
      <c r="H66" s="198">
        <f>SUM(H65:H65)</f>
        <v>4709732.4</v>
      </c>
      <c r="I66" s="198">
        <f>SUM(I65:I65)</f>
        <v>3296812.68</v>
      </c>
      <c r="J66" s="198">
        <f>SUM(J65:J65)</f>
        <v>1412919.72</v>
      </c>
      <c r="K66" s="207" t="s">
        <v>261</v>
      </c>
      <c r="L66" s="207" t="s">
        <v>261</v>
      </c>
      <c r="M66" s="194"/>
      <c r="N66" s="241">
        <f t="shared" si="7"/>
        <v>-4709732.4</v>
      </c>
      <c r="O66" s="324"/>
      <c r="P66" s="324"/>
    </row>
    <row r="67" spans="1:16" ht="15" customHeight="1">
      <c r="A67" s="211" t="s">
        <v>489</v>
      </c>
      <c r="B67" s="215"/>
      <c r="C67" s="214"/>
      <c r="D67" s="216"/>
      <c r="E67" s="216"/>
      <c r="F67" s="198"/>
      <c r="G67" s="189"/>
      <c r="H67" s="198"/>
      <c r="I67" s="198"/>
      <c r="J67" s="198"/>
      <c r="K67" s="199"/>
      <c r="L67" s="216"/>
      <c r="M67" s="194"/>
      <c r="N67" s="241">
        <f t="shared" si="7"/>
        <v>0</v>
      </c>
      <c r="O67" s="324"/>
      <c r="P67" s="324"/>
    </row>
    <row r="68" spans="1:16" ht="15" customHeight="1">
      <c r="A68" s="195">
        <f>A65+1</f>
        <v>29</v>
      </c>
      <c r="B68" s="181" t="s">
        <v>490</v>
      </c>
      <c r="C68" s="220">
        <v>1982</v>
      </c>
      <c r="D68" s="194" t="s">
        <v>533</v>
      </c>
      <c r="E68" s="182">
        <v>2</v>
      </c>
      <c r="F68" s="194">
        <v>6545.1</v>
      </c>
      <c r="G68" s="205">
        <v>188</v>
      </c>
      <c r="H68" s="198">
        <f>I68+J68</f>
        <v>16641569.445</v>
      </c>
      <c r="I68" s="198">
        <v>11649098.61</v>
      </c>
      <c r="J68" s="198">
        <f>M68*0.3</f>
        <v>4992470.835</v>
      </c>
      <c r="K68" s="199">
        <v>44560</v>
      </c>
      <c r="L68" s="216" t="s">
        <v>184</v>
      </c>
      <c r="M68" s="177">
        <v>16641569.45</v>
      </c>
      <c r="N68" s="241">
        <f t="shared" si="7"/>
        <v>0.004999999888241291</v>
      </c>
      <c r="O68" s="324"/>
      <c r="P68" s="324"/>
    </row>
    <row r="69" spans="1:16" ht="15" customHeight="1">
      <c r="A69" s="348" t="s">
        <v>23</v>
      </c>
      <c r="B69" s="348"/>
      <c r="C69" s="214" t="s">
        <v>261</v>
      </c>
      <c r="D69" s="216" t="s">
        <v>261</v>
      </c>
      <c r="E69" s="216" t="s">
        <v>261</v>
      </c>
      <c r="F69" s="198">
        <f>SUM(F68:F68)</f>
        <v>6545.1</v>
      </c>
      <c r="G69" s="198">
        <f>SUM(G68:G68)</f>
        <v>188</v>
      </c>
      <c r="H69" s="198">
        <f>SUM(H68:H68)</f>
        <v>16641569.445</v>
      </c>
      <c r="I69" s="198">
        <f>SUM(I68:I68)</f>
        <v>11649098.61</v>
      </c>
      <c r="J69" s="198">
        <f>SUM(J68:J68)</f>
        <v>4992470.835</v>
      </c>
      <c r="K69" s="207" t="s">
        <v>261</v>
      </c>
      <c r="L69" s="207" t="s">
        <v>261</v>
      </c>
      <c r="M69" s="194"/>
      <c r="N69" s="241">
        <f t="shared" si="7"/>
        <v>-16641569.445</v>
      </c>
      <c r="O69" s="324"/>
      <c r="P69" s="324"/>
    </row>
    <row r="70" spans="1:16" ht="15" customHeight="1">
      <c r="A70" s="424" t="s">
        <v>491</v>
      </c>
      <c r="B70" s="424"/>
      <c r="C70" s="214"/>
      <c r="D70" s="216"/>
      <c r="E70" s="216"/>
      <c r="F70" s="198"/>
      <c r="G70" s="189"/>
      <c r="H70" s="198"/>
      <c r="I70" s="198"/>
      <c r="J70" s="198"/>
      <c r="K70" s="199"/>
      <c r="L70" s="216"/>
      <c r="M70" s="194"/>
      <c r="N70" s="241">
        <f t="shared" si="7"/>
        <v>0</v>
      </c>
      <c r="O70" s="324"/>
      <c r="P70" s="324"/>
    </row>
    <row r="71" spans="1:16" ht="15" customHeight="1">
      <c r="A71" s="195">
        <f>A68+1</f>
        <v>30</v>
      </c>
      <c r="B71" s="181" t="s">
        <v>492</v>
      </c>
      <c r="C71" s="220">
        <v>1965</v>
      </c>
      <c r="D71" s="194" t="s">
        <v>532</v>
      </c>
      <c r="E71" s="182">
        <v>2</v>
      </c>
      <c r="F71" s="194">
        <v>268.4</v>
      </c>
      <c r="G71" s="205">
        <v>15</v>
      </c>
      <c r="H71" s="198">
        <f>I71+J71</f>
        <v>3441246.49</v>
      </c>
      <c r="I71" s="198">
        <f>M71*0.7</f>
        <v>2408872.543</v>
      </c>
      <c r="J71" s="198">
        <f>M71*0.3</f>
        <v>1032373.947</v>
      </c>
      <c r="K71" s="199">
        <v>44560</v>
      </c>
      <c r="L71" s="216" t="s">
        <v>184</v>
      </c>
      <c r="M71" s="177">
        <v>3441246.49</v>
      </c>
      <c r="N71" s="241">
        <f t="shared" si="7"/>
        <v>0</v>
      </c>
      <c r="O71" s="324"/>
      <c r="P71" s="324"/>
    </row>
    <row r="72" spans="1:16" ht="15" customHeight="1">
      <c r="A72" s="195">
        <f>A71+1</f>
        <v>31</v>
      </c>
      <c r="B72" s="181" t="s">
        <v>493</v>
      </c>
      <c r="C72" s="220">
        <v>1972</v>
      </c>
      <c r="D72" s="194" t="s">
        <v>185</v>
      </c>
      <c r="E72" s="182">
        <v>2</v>
      </c>
      <c r="F72" s="194">
        <v>689.7</v>
      </c>
      <c r="G72" s="205">
        <v>26</v>
      </c>
      <c r="H72" s="198">
        <f>I72+J72</f>
        <v>6105010.8</v>
      </c>
      <c r="I72" s="198">
        <f>M72*0.7</f>
        <v>4273507.56</v>
      </c>
      <c r="J72" s="198">
        <f>M72*0.3</f>
        <v>1831503.24</v>
      </c>
      <c r="K72" s="199">
        <v>44560</v>
      </c>
      <c r="L72" s="216" t="s">
        <v>184</v>
      </c>
      <c r="M72" s="177">
        <v>6105010.8</v>
      </c>
      <c r="N72" s="241">
        <f t="shared" si="7"/>
        <v>0</v>
      </c>
      <c r="O72" s="324"/>
      <c r="P72" s="324"/>
    </row>
    <row r="73" spans="1:16" ht="15" customHeight="1">
      <c r="A73" s="195">
        <f>A72+1</f>
        <v>32</v>
      </c>
      <c r="B73" s="181" t="s">
        <v>494</v>
      </c>
      <c r="C73" s="220">
        <v>1970</v>
      </c>
      <c r="D73" s="194" t="s">
        <v>185</v>
      </c>
      <c r="E73" s="182">
        <v>2</v>
      </c>
      <c r="F73" s="194">
        <v>834.2</v>
      </c>
      <c r="G73" s="205">
        <v>48</v>
      </c>
      <c r="H73" s="198">
        <f>I73+J73</f>
        <v>6910837.2</v>
      </c>
      <c r="I73" s="198">
        <f>M73*0.7</f>
        <v>4837586.04</v>
      </c>
      <c r="J73" s="198">
        <f>M73*0.3</f>
        <v>2073251.16</v>
      </c>
      <c r="K73" s="199">
        <v>44560</v>
      </c>
      <c r="L73" s="216" t="s">
        <v>184</v>
      </c>
      <c r="M73" s="177">
        <v>6910837.2</v>
      </c>
      <c r="N73" s="241">
        <f t="shared" si="7"/>
        <v>0</v>
      </c>
      <c r="O73" s="324"/>
      <c r="P73" s="324"/>
    </row>
    <row r="74" spans="1:16" s="219" customFormat="1" ht="15">
      <c r="A74" s="200" t="s">
        <v>23</v>
      </c>
      <c r="B74" s="196"/>
      <c r="C74" s="214" t="s">
        <v>261</v>
      </c>
      <c r="D74" s="216" t="s">
        <v>261</v>
      </c>
      <c r="E74" s="216" t="s">
        <v>261</v>
      </c>
      <c r="F74" s="201">
        <f>SUM(F71:F73)</f>
        <v>1792.3000000000002</v>
      </c>
      <c r="G74" s="201">
        <f>SUM(G71:G73)</f>
        <v>89</v>
      </c>
      <c r="H74" s="201">
        <f>SUM(H71:H73)</f>
        <v>16457094.489999998</v>
      </c>
      <c r="I74" s="201">
        <f>SUM(I71:I73)</f>
        <v>11519966.143</v>
      </c>
      <c r="J74" s="201">
        <f>SUM(J71:J73)</f>
        <v>4937128.347</v>
      </c>
      <c r="K74" s="214" t="s">
        <v>261</v>
      </c>
      <c r="L74" s="214" t="s">
        <v>261</v>
      </c>
      <c r="M74" s="193"/>
      <c r="N74" s="241">
        <f t="shared" si="7"/>
        <v>-16457094.489999998</v>
      </c>
      <c r="O74" s="324"/>
      <c r="P74" s="324"/>
    </row>
    <row r="75" spans="1:16" ht="15" customHeight="1">
      <c r="A75" s="211" t="s">
        <v>495</v>
      </c>
      <c r="B75" s="181"/>
      <c r="C75" s="214"/>
      <c r="D75" s="216"/>
      <c r="E75" s="216"/>
      <c r="F75" s="198"/>
      <c r="G75" s="189"/>
      <c r="H75" s="198"/>
      <c r="I75" s="198"/>
      <c r="J75" s="198"/>
      <c r="K75" s="199"/>
      <c r="L75" s="216"/>
      <c r="M75" s="194"/>
      <c r="N75" s="241">
        <f t="shared" si="7"/>
        <v>0</v>
      </c>
      <c r="O75" s="324"/>
      <c r="P75" s="324"/>
    </row>
    <row r="76" spans="1:16" ht="15" customHeight="1">
      <c r="A76" s="195">
        <f>A73+1</f>
        <v>33</v>
      </c>
      <c r="B76" s="181" t="s">
        <v>496</v>
      </c>
      <c r="C76" s="220">
        <v>1973</v>
      </c>
      <c r="D76" s="194" t="s">
        <v>185</v>
      </c>
      <c r="E76" s="182">
        <v>2</v>
      </c>
      <c r="F76" s="194">
        <v>503.9</v>
      </c>
      <c r="G76" s="205">
        <v>30</v>
      </c>
      <c r="H76" s="198">
        <f>I76+J76</f>
        <v>4421377.2</v>
      </c>
      <c r="I76" s="198">
        <f>M76*0.7</f>
        <v>3094964.04</v>
      </c>
      <c r="J76" s="198">
        <f>M76*0.3</f>
        <v>1326413.16</v>
      </c>
      <c r="K76" s="199">
        <v>44560</v>
      </c>
      <c r="L76" s="216" t="s">
        <v>184</v>
      </c>
      <c r="M76" s="177">
        <v>4421377.2</v>
      </c>
      <c r="N76" s="241">
        <f t="shared" si="7"/>
        <v>0</v>
      </c>
      <c r="O76" s="324"/>
      <c r="P76" s="324"/>
    </row>
    <row r="77" spans="1:16" ht="15" customHeight="1">
      <c r="A77" s="348" t="s">
        <v>23</v>
      </c>
      <c r="B77" s="348"/>
      <c r="C77" s="214" t="s">
        <v>261</v>
      </c>
      <c r="D77" s="216" t="s">
        <v>261</v>
      </c>
      <c r="E77" s="216" t="s">
        <v>261</v>
      </c>
      <c r="F77" s="198">
        <f>SUM(F76:F76)</f>
        <v>503.9</v>
      </c>
      <c r="G77" s="198">
        <f>SUM(G76:G76)</f>
        <v>30</v>
      </c>
      <c r="H77" s="198">
        <f>SUM(H76:H76)</f>
        <v>4421377.2</v>
      </c>
      <c r="I77" s="198">
        <f>SUM(I76:I76)</f>
        <v>3094964.04</v>
      </c>
      <c r="J77" s="198">
        <f>SUM(J76:J76)</f>
        <v>1326413.16</v>
      </c>
      <c r="K77" s="207" t="s">
        <v>261</v>
      </c>
      <c r="L77" s="207" t="s">
        <v>261</v>
      </c>
      <c r="M77" s="194"/>
      <c r="N77" s="241">
        <f t="shared" si="7"/>
        <v>-4421377.2</v>
      </c>
      <c r="O77" s="324"/>
      <c r="P77" s="324"/>
    </row>
    <row r="78" spans="1:16" ht="15" customHeight="1">
      <c r="A78" s="362" t="s">
        <v>420</v>
      </c>
      <c r="B78" s="362"/>
      <c r="C78" s="206" t="s">
        <v>261</v>
      </c>
      <c r="D78" s="207" t="s">
        <v>261</v>
      </c>
      <c r="E78" s="207" t="s">
        <v>261</v>
      </c>
      <c r="F78" s="208">
        <f>F60+F63+F69+F74+F77+F66</f>
        <v>10230.2</v>
      </c>
      <c r="G78" s="208">
        <f>G60+G63+G69+G74+G77+G66</f>
        <v>388</v>
      </c>
      <c r="H78" s="208">
        <f>H60+H63+H69+H74+H77+H66</f>
        <v>50214046.675000004</v>
      </c>
      <c r="I78" s="208">
        <f>I60+I63+I69+I74+I77+I66</f>
        <v>35149832.671</v>
      </c>
      <c r="J78" s="208">
        <f>J60+J63+J69+J74+J77+J66</f>
        <v>15064214.004</v>
      </c>
      <c r="K78" s="207" t="s">
        <v>261</v>
      </c>
      <c r="L78" s="207" t="s">
        <v>261</v>
      </c>
      <c r="M78" s="194"/>
      <c r="N78" s="241">
        <f t="shared" si="7"/>
        <v>-50214046.675</v>
      </c>
      <c r="O78" s="324"/>
      <c r="P78" s="324"/>
    </row>
    <row r="79" spans="1:16" ht="15" customHeight="1">
      <c r="A79" s="421" t="s">
        <v>31</v>
      </c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194"/>
      <c r="N79" s="241">
        <f t="shared" si="7"/>
        <v>0</v>
      </c>
      <c r="O79" s="324"/>
      <c r="P79" s="324"/>
    </row>
    <row r="80" spans="1:16" ht="15" customHeight="1">
      <c r="A80" s="249" t="s">
        <v>32</v>
      </c>
      <c r="B80" s="217"/>
      <c r="C80" s="214"/>
      <c r="D80" s="216"/>
      <c r="E80" s="216"/>
      <c r="F80" s="208"/>
      <c r="G80" s="210"/>
      <c r="H80" s="198"/>
      <c r="I80" s="198"/>
      <c r="J80" s="198"/>
      <c r="K80" s="207"/>
      <c r="L80" s="207"/>
      <c r="M80" s="194"/>
      <c r="N80" s="241">
        <f t="shared" si="7"/>
        <v>0</v>
      </c>
      <c r="O80" s="324"/>
      <c r="P80" s="324"/>
    </row>
    <row r="81" spans="1:16" ht="15" customHeight="1">
      <c r="A81" s="195">
        <f>A76+1</f>
        <v>34</v>
      </c>
      <c r="B81" s="181" t="s">
        <v>557</v>
      </c>
      <c r="C81" s="320"/>
      <c r="D81" s="321"/>
      <c r="E81" s="321"/>
      <c r="F81" s="208"/>
      <c r="G81" s="210"/>
      <c r="H81" s="198">
        <f>I81+J81</f>
        <v>3000603.6</v>
      </c>
      <c r="I81" s="198">
        <f aca="true" t="shared" si="11" ref="I81:I88">M81*0.7</f>
        <v>2100422.52</v>
      </c>
      <c r="J81" s="198">
        <f aca="true" t="shared" si="12" ref="J81:J88">M81*0.3</f>
        <v>900181.08</v>
      </c>
      <c r="K81" s="199">
        <v>44560</v>
      </c>
      <c r="L81" s="321" t="s">
        <v>184</v>
      </c>
      <c r="M81" s="323">
        <v>3000603.6</v>
      </c>
      <c r="N81" s="241">
        <f t="shared" si="7"/>
        <v>0</v>
      </c>
      <c r="O81" s="324"/>
      <c r="P81" s="324"/>
    </row>
    <row r="82" spans="1:16" ht="15" customHeight="1">
      <c r="A82" s="195">
        <f aca="true" t="shared" si="13" ref="A82:A88">A81+1</f>
        <v>35</v>
      </c>
      <c r="B82" s="181" t="s">
        <v>549</v>
      </c>
      <c r="C82" s="197">
        <v>1950</v>
      </c>
      <c r="D82" s="226" t="s">
        <v>534</v>
      </c>
      <c r="E82" s="226">
        <v>2</v>
      </c>
      <c r="F82" s="226">
        <v>789.95</v>
      </c>
      <c r="G82" s="228">
        <v>35</v>
      </c>
      <c r="H82" s="198">
        <f>I82+J82</f>
        <v>2544475.2</v>
      </c>
      <c r="I82" s="198">
        <f t="shared" si="11"/>
        <v>1781132.6400000001</v>
      </c>
      <c r="J82" s="198">
        <f t="shared" si="12"/>
        <v>763342.56</v>
      </c>
      <c r="K82" s="199">
        <v>44560</v>
      </c>
      <c r="L82" s="216" t="s">
        <v>184</v>
      </c>
      <c r="M82" s="194">
        <v>2544475.2</v>
      </c>
      <c r="N82" s="241">
        <f t="shared" si="7"/>
        <v>0</v>
      </c>
      <c r="O82" s="324"/>
      <c r="P82" s="324"/>
    </row>
    <row r="83" spans="1:16" ht="15" customHeight="1">
      <c r="A83" s="195">
        <f t="shared" si="13"/>
        <v>36</v>
      </c>
      <c r="B83" s="196" t="s">
        <v>497</v>
      </c>
      <c r="C83" s="197">
        <v>1951</v>
      </c>
      <c r="D83" s="226" t="s">
        <v>534</v>
      </c>
      <c r="E83" s="226">
        <v>2</v>
      </c>
      <c r="F83" s="226">
        <v>789.95</v>
      </c>
      <c r="G83" s="228">
        <v>35</v>
      </c>
      <c r="H83" s="198">
        <f aca="true" t="shared" si="14" ref="H83:H88">I83+J83</f>
        <v>7997735.5</v>
      </c>
      <c r="I83" s="198">
        <f t="shared" si="11"/>
        <v>5598414.85</v>
      </c>
      <c r="J83" s="198">
        <f t="shared" si="12"/>
        <v>2399320.65</v>
      </c>
      <c r="K83" s="199">
        <v>44560</v>
      </c>
      <c r="L83" s="216" t="s">
        <v>184</v>
      </c>
      <c r="M83" s="177">
        <v>7997735.5</v>
      </c>
      <c r="N83" s="241">
        <f t="shared" si="7"/>
        <v>0</v>
      </c>
      <c r="O83" s="324"/>
      <c r="P83" s="324"/>
    </row>
    <row r="84" spans="1:16" ht="15" customHeight="1">
      <c r="A84" s="195">
        <f t="shared" si="13"/>
        <v>37</v>
      </c>
      <c r="B84" s="196" t="s">
        <v>498</v>
      </c>
      <c r="C84" s="220">
        <v>1958</v>
      </c>
      <c r="D84" s="226" t="s">
        <v>534</v>
      </c>
      <c r="E84" s="226">
        <v>2</v>
      </c>
      <c r="F84" s="226">
        <v>460.5</v>
      </c>
      <c r="G84" s="228">
        <v>17</v>
      </c>
      <c r="H84" s="198">
        <f t="shared" si="14"/>
        <v>4990926</v>
      </c>
      <c r="I84" s="198">
        <f t="shared" si="11"/>
        <v>3493648.1999999997</v>
      </c>
      <c r="J84" s="198">
        <f t="shared" si="12"/>
        <v>1497277.8</v>
      </c>
      <c r="K84" s="199">
        <v>44560</v>
      </c>
      <c r="L84" s="216" t="s">
        <v>184</v>
      </c>
      <c r="M84" s="177">
        <v>4990926</v>
      </c>
      <c r="N84" s="241">
        <f t="shared" si="7"/>
        <v>0</v>
      </c>
      <c r="O84" s="324"/>
      <c r="P84" s="324"/>
    </row>
    <row r="85" spans="1:16" ht="15" customHeight="1">
      <c r="A85" s="195">
        <f t="shared" si="13"/>
        <v>38</v>
      </c>
      <c r="B85" s="196" t="s">
        <v>499</v>
      </c>
      <c r="C85" s="220">
        <v>1950</v>
      </c>
      <c r="D85" s="226" t="s">
        <v>534</v>
      </c>
      <c r="E85" s="226">
        <v>2</v>
      </c>
      <c r="F85" s="226">
        <v>685.52</v>
      </c>
      <c r="G85" s="228">
        <v>37</v>
      </c>
      <c r="H85" s="198">
        <f t="shared" si="14"/>
        <v>6813258</v>
      </c>
      <c r="I85" s="198">
        <f t="shared" si="11"/>
        <v>4769280.6</v>
      </c>
      <c r="J85" s="198">
        <f t="shared" si="12"/>
        <v>2043977.4</v>
      </c>
      <c r="K85" s="199">
        <v>44560</v>
      </c>
      <c r="L85" s="216" t="s">
        <v>184</v>
      </c>
      <c r="M85" s="177">
        <v>6813258</v>
      </c>
      <c r="N85" s="241">
        <f t="shared" si="7"/>
        <v>0</v>
      </c>
      <c r="O85" s="324"/>
      <c r="P85" s="324"/>
    </row>
    <row r="86" spans="1:16" ht="15" customHeight="1">
      <c r="A86" s="195">
        <f t="shared" si="13"/>
        <v>39</v>
      </c>
      <c r="B86" s="196" t="s">
        <v>500</v>
      </c>
      <c r="C86" s="220">
        <v>1948</v>
      </c>
      <c r="D86" s="226" t="s">
        <v>534</v>
      </c>
      <c r="E86" s="226">
        <v>2</v>
      </c>
      <c r="F86" s="226">
        <v>800.25</v>
      </c>
      <c r="G86" s="228">
        <v>32</v>
      </c>
      <c r="H86" s="198">
        <f t="shared" si="14"/>
        <v>6822639.6</v>
      </c>
      <c r="I86" s="198">
        <f t="shared" si="11"/>
        <v>4775847.72</v>
      </c>
      <c r="J86" s="198">
        <f t="shared" si="12"/>
        <v>2046791.88</v>
      </c>
      <c r="K86" s="199">
        <v>44561</v>
      </c>
      <c r="L86" s="216" t="s">
        <v>184</v>
      </c>
      <c r="M86" s="177">
        <v>6822639.6</v>
      </c>
      <c r="N86" s="241">
        <f t="shared" si="7"/>
        <v>0</v>
      </c>
      <c r="O86" s="324"/>
      <c r="P86" s="324"/>
    </row>
    <row r="87" spans="1:16" ht="15" customHeight="1">
      <c r="A87" s="195">
        <f t="shared" si="13"/>
        <v>40</v>
      </c>
      <c r="B87" s="196" t="s">
        <v>501</v>
      </c>
      <c r="C87" s="220">
        <v>1961</v>
      </c>
      <c r="D87" s="226" t="s">
        <v>185</v>
      </c>
      <c r="E87" s="226">
        <v>2</v>
      </c>
      <c r="F87" s="226">
        <v>409.98</v>
      </c>
      <c r="G87" s="228">
        <v>24</v>
      </c>
      <c r="H87" s="198">
        <f t="shared" si="14"/>
        <v>3987216</v>
      </c>
      <c r="I87" s="198">
        <f t="shared" si="11"/>
        <v>2791051.1999999997</v>
      </c>
      <c r="J87" s="198">
        <f t="shared" si="12"/>
        <v>1196164.8</v>
      </c>
      <c r="K87" s="199">
        <v>44561</v>
      </c>
      <c r="L87" s="216" t="s">
        <v>184</v>
      </c>
      <c r="M87" s="177">
        <v>3987216</v>
      </c>
      <c r="N87" s="241">
        <f t="shared" si="7"/>
        <v>0</v>
      </c>
      <c r="O87" s="324"/>
      <c r="P87" s="324"/>
    </row>
    <row r="88" spans="1:16" ht="15" customHeight="1">
      <c r="A88" s="195">
        <f t="shared" si="13"/>
        <v>41</v>
      </c>
      <c r="B88" s="196" t="s">
        <v>502</v>
      </c>
      <c r="C88" s="220">
        <v>1948</v>
      </c>
      <c r="D88" s="226" t="s">
        <v>534</v>
      </c>
      <c r="E88" s="226">
        <v>2</v>
      </c>
      <c r="F88" s="226">
        <v>795.66</v>
      </c>
      <c r="G88" s="228">
        <v>19</v>
      </c>
      <c r="H88" s="198">
        <f t="shared" si="14"/>
        <v>6980608.799999999</v>
      </c>
      <c r="I88" s="198">
        <f t="shared" si="11"/>
        <v>4886426.159999999</v>
      </c>
      <c r="J88" s="198">
        <f t="shared" si="12"/>
        <v>2094182.64</v>
      </c>
      <c r="K88" s="199">
        <v>44561</v>
      </c>
      <c r="L88" s="216" t="s">
        <v>184</v>
      </c>
      <c r="M88" s="177">
        <v>6980608.8</v>
      </c>
      <c r="N88" s="241">
        <f t="shared" si="7"/>
        <v>0</v>
      </c>
      <c r="O88" s="324"/>
      <c r="P88" s="324"/>
    </row>
    <row r="89" spans="1:16" ht="15" customHeight="1">
      <c r="A89" s="348" t="s">
        <v>23</v>
      </c>
      <c r="B89" s="348"/>
      <c r="C89" s="214" t="s">
        <v>261</v>
      </c>
      <c r="D89" s="216" t="s">
        <v>261</v>
      </c>
      <c r="E89" s="216" t="s">
        <v>261</v>
      </c>
      <c r="F89" s="198">
        <f>SUM(F81:F88)</f>
        <v>4731.81</v>
      </c>
      <c r="G89" s="198">
        <f>SUM(G81:G88)</f>
        <v>199</v>
      </c>
      <c r="H89" s="198">
        <f>SUM(H81:H88)</f>
        <v>43137462.699999996</v>
      </c>
      <c r="I89" s="198">
        <f>SUM(I81:I88)</f>
        <v>30196223.889999997</v>
      </c>
      <c r="J89" s="198">
        <f>SUM(J81:J88)</f>
        <v>12941238.810000002</v>
      </c>
      <c r="K89" s="216" t="s">
        <v>261</v>
      </c>
      <c r="L89" s="216" t="s">
        <v>261</v>
      </c>
      <c r="M89" s="194"/>
      <c r="N89" s="241">
        <f t="shared" si="7"/>
        <v>-43137462.7</v>
      </c>
      <c r="O89" s="324"/>
      <c r="P89" s="324"/>
    </row>
    <row r="90" spans="1:16" ht="15" customHeight="1">
      <c r="A90" s="211" t="s">
        <v>503</v>
      </c>
      <c r="B90" s="217"/>
      <c r="C90" s="214"/>
      <c r="D90" s="216"/>
      <c r="E90" s="216"/>
      <c r="F90" s="208"/>
      <c r="G90" s="210"/>
      <c r="H90" s="198"/>
      <c r="I90" s="208"/>
      <c r="J90" s="208"/>
      <c r="K90" s="207"/>
      <c r="L90" s="207"/>
      <c r="M90" s="194"/>
      <c r="N90" s="241">
        <f t="shared" si="7"/>
        <v>0</v>
      </c>
      <c r="O90" s="324"/>
      <c r="P90" s="324"/>
    </row>
    <row r="91" spans="1:16" ht="15" customHeight="1">
      <c r="A91" s="195">
        <f>A88+1</f>
        <v>42</v>
      </c>
      <c r="B91" s="196" t="s">
        <v>504</v>
      </c>
      <c r="C91" s="220">
        <v>1948</v>
      </c>
      <c r="D91" s="226" t="s">
        <v>369</v>
      </c>
      <c r="E91" s="226">
        <v>2</v>
      </c>
      <c r="F91" s="226">
        <v>622.8</v>
      </c>
      <c r="G91" s="228">
        <v>33</v>
      </c>
      <c r="H91" s="198">
        <f aca="true" t="shared" si="15" ref="H91:H97">I91+J91</f>
        <v>3164565.5999999996</v>
      </c>
      <c r="I91" s="198">
        <f aca="true" t="shared" si="16" ref="I91:I97">M91*0.7</f>
        <v>2215195.92</v>
      </c>
      <c r="J91" s="198">
        <f aca="true" t="shared" si="17" ref="J91:J97">M91*0.3</f>
        <v>949369.6799999999</v>
      </c>
      <c r="K91" s="199">
        <v>44560</v>
      </c>
      <c r="L91" s="216" t="s">
        <v>184</v>
      </c>
      <c r="M91" s="194">
        <v>3164565.6</v>
      </c>
      <c r="N91" s="241">
        <f t="shared" si="7"/>
        <v>0</v>
      </c>
      <c r="O91" s="324"/>
      <c r="P91" s="324"/>
    </row>
    <row r="92" spans="1:16" ht="15" customHeight="1">
      <c r="A92" s="195">
        <f aca="true" t="shared" si="18" ref="A92:A97">A91+1</f>
        <v>43</v>
      </c>
      <c r="B92" s="196" t="s">
        <v>505</v>
      </c>
      <c r="C92" s="205">
        <v>1952</v>
      </c>
      <c r="D92" s="226" t="s">
        <v>369</v>
      </c>
      <c r="E92" s="226">
        <v>2</v>
      </c>
      <c r="F92" s="226">
        <v>1180.9</v>
      </c>
      <c r="G92" s="228">
        <v>45</v>
      </c>
      <c r="H92" s="198">
        <f t="shared" si="15"/>
        <v>8297359.9799999995</v>
      </c>
      <c r="I92" s="198">
        <f t="shared" si="16"/>
        <v>5808151.986</v>
      </c>
      <c r="J92" s="198">
        <f t="shared" si="17"/>
        <v>2489207.994</v>
      </c>
      <c r="K92" s="199">
        <v>44560</v>
      </c>
      <c r="L92" s="216" t="s">
        <v>184</v>
      </c>
      <c r="M92" s="194">
        <v>8297359.98</v>
      </c>
      <c r="N92" s="241">
        <f t="shared" si="7"/>
        <v>0</v>
      </c>
      <c r="O92" s="324"/>
      <c r="P92" s="324"/>
    </row>
    <row r="93" spans="1:16" ht="15" customHeight="1">
      <c r="A93" s="195">
        <f t="shared" si="18"/>
        <v>44</v>
      </c>
      <c r="B93" s="196" t="s">
        <v>506</v>
      </c>
      <c r="C93" s="205">
        <v>1953</v>
      </c>
      <c r="D93" s="226" t="s">
        <v>369</v>
      </c>
      <c r="E93" s="226">
        <v>2</v>
      </c>
      <c r="F93" s="226">
        <v>780.7</v>
      </c>
      <c r="G93" s="228">
        <v>30</v>
      </c>
      <c r="H93" s="198">
        <f t="shared" si="15"/>
        <v>6667183.2</v>
      </c>
      <c r="I93" s="198">
        <f t="shared" si="16"/>
        <v>4667028.24</v>
      </c>
      <c r="J93" s="198">
        <f t="shared" si="17"/>
        <v>2000154.96</v>
      </c>
      <c r="K93" s="199">
        <v>44560</v>
      </c>
      <c r="L93" s="216" t="s">
        <v>184</v>
      </c>
      <c r="M93" s="194">
        <v>6667183.2</v>
      </c>
      <c r="N93" s="241">
        <f t="shared" si="7"/>
        <v>0</v>
      </c>
      <c r="O93" s="324"/>
      <c r="P93" s="324"/>
    </row>
    <row r="94" spans="1:16" ht="15" customHeight="1">
      <c r="A94" s="195">
        <f t="shared" si="18"/>
        <v>45</v>
      </c>
      <c r="B94" s="196" t="s">
        <v>507</v>
      </c>
      <c r="C94" s="205">
        <v>1951</v>
      </c>
      <c r="D94" s="226" t="s">
        <v>369</v>
      </c>
      <c r="E94" s="226">
        <v>2</v>
      </c>
      <c r="F94" s="226">
        <v>797.1</v>
      </c>
      <c r="G94" s="228">
        <v>32</v>
      </c>
      <c r="H94" s="198">
        <f t="shared" si="15"/>
        <v>6667183.2</v>
      </c>
      <c r="I94" s="198">
        <f t="shared" si="16"/>
        <v>4667028.24</v>
      </c>
      <c r="J94" s="198">
        <f t="shared" si="17"/>
        <v>2000154.96</v>
      </c>
      <c r="K94" s="199">
        <v>44561</v>
      </c>
      <c r="L94" s="216" t="s">
        <v>184</v>
      </c>
      <c r="M94" s="194">
        <v>6667183.2</v>
      </c>
      <c r="N94" s="241">
        <f t="shared" si="7"/>
        <v>0</v>
      </c>
      <c r="O94" s="324"/>
      <c r="P94" s="324"/>
    </row>
    <row r="95" spans="1:16" ht="15" customHeight="1">
      <c r="A95" s="195">
        <f t="shared" si="18"/>
        <v>46</v>
      </c>
      <c r="B95" s="196" t="s">
        <v>508</v>
      </c>
      <c r="C95" s="197">
        <v>1950</v>
      </c>
      <c r="D95" s="226" t="s">
        <v>369</v>
      </c>
      <c r="E95" s="226">
        <v>2</v>
      </c>
      <c r="F95" s="226">
        <v>782.7</v>
      </c>
      <c r="G95" s="228">
        <v>23</v>
      </c>
      <c r="H95" s="198">
        <f t="shared" si="15"/>
        <v>6667183.2</v>
      </c>
      <c r="I95" s="198">
        <f t="shared" si="16"/>
        <v>4667028.24</v>
      </c>
      <c r="J95" s="198">
        <f t="shared" si="17"/>
        <v>2000154.96</v>
      </c>
      <c r="K95" s="199">
        <v>44561</v>
      </c>
      <c r="L95" s="216" t="s">
        <v>184</v>
      </c>
      <c r="M95" s="194">
        <v>6667183.2</v>
      </c>
      <c r="N95" s="241">
        <f t="shared" si="7"/>
        <v>0</v>
      </c>
      <c r="O95" s="324"/>
      <c r="P95" s="324"/>
    </row>
    <row r="96" spans="1:16" ht="15" customHeight="1">
      <c r="A96" s="195">
        <f t="shared" si="18"/>
        <v>47</v>
      </c>
      <c r="B96" s="196" t="s">
        <v>509</v>
      </c>
      <c r="C96" s="197">
        <v>1952</v>
      </c>
      <c r="D96" s="226" t="s">
        <v>369</v>
      </c>
      <c r="E96" s="226">
        <v>2</v>
      </c>
      <c r="F96" s="226">
        <v>784.5</v>
      </c>
      <c r="G96" s="228">
        <v>32</v>
      </c>
      <c r="H96" s="198">
        <f t="shared" si="15"/>
        <v>6892515.599999999</v>
      </c>
      <c r="I96" s="198">
        <f t="shared" si="16"/>
        <v>4824760.919999999</v>
      </c>
      <c r="J96" s="198">
        <f t="shared" si="17"/>
        <v>2067754.6799999997</v>
      </c>
      <c r="K96" s="199">
        <v>44561</v>
      </c>
      <c r="L96" s="216" t="s">
        <v>184</v>
      </c>
      <c r="M96" s="194">
        <v>6892515.6</v>
      </c>
      <c r="N96" s="241">
        <f t="shared" si="7"/>
        <v>0</v>
      </c>
      <c r="O96" s="324"/>
      <c r="P96" s="324"/>
    </row>
    <row r="97" spans="1:16" ht="15" customHeight="1">
      <c r="A97" s="195">
        <f t="shared" si="18"/>
        <v>48</v>
      </c>
      <c r="B97" s="196" t="s">
        <v>510</v>
      </c>
      <c r="C97" s="197">
        <v>1984</v>
      </c>
      <c r="D97" s="226" t="s">
        <v>530</v>
      </c>
      <c r="E97" s="226">
        <v>3</v>
      </c>
      <c r="F97" s="229">
        <v>1318</v>
      </c>
      <c r="G97" s="230">
        <v>63</v>
      </c>
      <c r="H97" s="198">
        <f t="shared" si="15"/>
        <v>6027543.6</v>
      </c>
      <c r="I97" s="198">
        <f t="shared" si="16"/>
        <v>4219280.52</v>
      </c>
      <c r="J97" s="198">
        <f t="shared" si="17"/>
        <v>1808263.0799999998</v>
      </c>
      <c r="K97" s="199">
        <v>44561</v>
      </c>
      <c r="L97" s="216" t="s">
        <v>184</v>
      </c>
      <c r="M97" s="194">
        <v>6027543.6</v>
      </c>
      <c r="N97" s="241">
        <f t="shared" si="7"/>
        <v>0</v>
      </c>
      <c r="O97" s="324"/>
      <c r="P97" s="324"/>
    </row>
    <row r="98" spans="1:16" ht="15" customHeight="1">
      <c r="A98" s="370" t="s">
        <v>23</v>
      </c>
      <c r="B98" s="337"/>
      <c r="C98" s="214" t="s">
        <v>261</v>
      </c>
      <c r="D98" s="216" t="s">
        <v>261</v>
      </c>
      <c r="E98" s="216" t="s">
        <v>261</v>
      </c>
      <c r="F98" s="198">
        <f>SUM(F91:F97)</f>
        <v>6266.7</v>
      </c>
      <c r="G98" s="198">
        <f>SUM(G91:G97)</f>
        <v>258</v>
      </c>
      <c r="H98" s="198">
        <f>SUM(H91:H97)</f>
        <v>44383534.379999995</v>
      </c>
      <c r="I98" s="198">
        <f>SUM(I91:I97)</f>
        <v>31068474.066</v>
      </c>
      <c r="J98" s="198">
        <f>SUM(J91:J97)</f>
        <v>13315060.314</v>
      </c>
      <c r="K98" s="216" t="s">
        <v>261</v>
      </c>
      <c r="L98" s="216" t="s">
        <v>261</v>
      </c>
      <c r="M98" s="194"/>
      <c r="N98" s="241">
        <f t="shared" si="7"/>
        <v>-44383534.379999995</v>
      </c>
      <c r="O98" s="324"/>
      <c r="P98" s="324"/>
    </row>
    <row r="99" spans="1:16" ht="15" customHeight="1">
      <c r="A99" s="341" t="s">
        <v>34</v>
      </c>
      <c r="B99" s="342"/>
      <c r="C99" s="206" t="s">
        <v>261</v>
      </c>
      <c r="D99" s="207" t="s">
        <v>261</v>
      </c>
      <c r="E99" s="207" t="s">
        <v>261</v>
      </c>
      <c r="F99" s="178">
        <f>F98+F89</f>
        <v>10998.51</v>
      </c>
      <c r="G99" s="178">
        <f>G98+G89</f>
        <v>457</v>
      </c>
      <c r="H99" s="178">
        <f>H98+H89</f>
        <v>87520997.07999998</v>
      </c>
      <c r="I99" s="178">
        <f>I98+I89</f>
        <v>61264697.956</v>
      </c>
      <c r="J99" s="178">
        <f>J98+J89</f>
        <v>26256299.124</v>
      </c>
      <c r="K99" s="207" t="s">
        <v>261</v>
      </c>
      <c r="L99" s="207" t="s">
        <v>261</v>
      </c>
      <c r="M99" s="194"/>
      <c r="N99" s="241">
        <f t="shared" si="7"/>
        <v>-87520997.08</v>
      </c>
      <c r="O99" s="324"/>
      <c r="P99" s="324"/>
    </row>
    <row r="100" spans="1:16" ht="15" customHeight="1">
      <c r="A100" s="387" t="s">
        <v>294</v>
      </c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9"/>
      <c r="M100" s="194"/>
      <c r="N100" s="241">
        <f t="shared" si="7"/>
        <v>0</v>
      </c>
      <c r="O100" s="324"/>
      <c r="P100" s="324"/>
    </row>
    <row r="101" spans="1:16" ht="15" customHeight="1">
      <c r="A101" s="202" t="s">
        <v>511</v>
      </c>
      <c r="B101" s="212"/>
      <c r="C101" s="214"/>
      <c r="D101" s="216"/>
      <c r="E101" s="216"/>
      <c r="F101" s="198"/>
      <c r="G101" s="189"/>
      <c r="H101" s="180"/>
      <c r="I101" s="198"/>
      <c r="J101" s="198"/>
      <c r="K101" s="216"/>
      <c r="L101" s="216"/>
      <c r="M101" s="194"/>
      <c r="N101" s="241">
        <f t="shared" si="7"/>
        <v>0</v>
      </c>
      <c r="O101" s="324"/>
      <c r="P101" s="324"/>
    </row>
    <row r="102" spans="1:16" ht="15" customHeight="1">
      <c r="A102" s="195">
        <f>A97+1</f>
        <v>49</v>
      </c>
      <c r="B102" s="181" t="s">
        <v>512</v>
      </c>
      <c r="C102" s="182">
        <v>1983</v>
      </c>
      <c r="D102" s="223" t="s">
        <v>535</v>
      </c>
      <c r="E102" s="205">
        <v>5</v>
      </c>
      <c r="F102" s="223">
        <v>7104.2</v>
      </c>
      <c r="G102" s="205">
        <v>249</v>
      </c>
      <c r="H102" s="198">
        <f>I102+J102</f>
        <v>32304744.78</v>
      </c>
      <c r="I102" s="198">
        <f>M102*0.7</f>
        <v>22613321.346</v>
      </c>
      <c r="J102" s="198">
        <f>M102*0.3</f>
        <v>9691423.434</v>
      </c>
      <c r="K102" s="199">
        <v>44560</v>
      </c>
      <c r="L102" s="216" t="s">
        <v>184</v>
      </c>
      <c r="M102" s="177">
        <v>32304744.78</v>
      </c>
      <c r="N102" s="241">
        <f t="shared" si="7"/>
        <v>0</v>
      </c>
      <c r="O102" s="324"/>
      <c r="P102" s="324"/>
    </row>
    <row r="103" spans="1:16" ht="15" customHeight="1">
      <c r="A103" s="370" t="s">
        <v>23</v>
      </c>
      <c r="B103" s="337"/>
      <c r="C103" s="214" t="s">
        <v>261</v>
      </c>
      <c r="D103" s="216" t="s">
        <v>261</v>
      </c>
      <c r="E103" s="216" t="s">
        <v>261</v>
      </c>
      <c r="F103" s="198">
        <f>SUM(F102)</f>
        <v>7104.2</v>
      </c>
      <c r="G103" s="198">
        <f>SUM(G102)</f>
        <v>249</v>
      </c>
      <c r="H103" s="198">
        <f>SUM(H102)</f>
        <v>32304744.78</v>
      </c>
      <c r="I103" s="198">
        <f>SUM(I102)</f>
        <v>22613321.346</v>
      </c>
      <c r="J103" s="198">
        <f>SUM(J102)</f>
        <v>9691423.434</v>
      </c>
      <c r="K103" s="216" t="s">
        <v>261</v>
      </c>
      <c r="L103" s="216" t="s">
        <v>261</v>
      </c>
      <c r="M103" s="194"/>
      <c r="N103" s="241">
        <f t="shared" si="7"/>
        <v>-32304744.78</v>
      </c>
      <c r="O103" s="324"/>
      <c r="P103" s="324"/>
    </row>
    <row r="104" spans="1:16" ht="15" customHeight="1">
      <c r="A104" s="202" t="s">
        <v>524</v>
      </c>
      <c r="B104" s="212"/>
      <c r="C104" s="214"/>
      <c r="D104" s="216"/>
      <c r="E104" s="216"/>
      <c r="F104" s="198"/>
      <c r="G104" s="189"/>
      <c r="H104" s="180"/>
      <c r="I104" s="198"/>
      <c r="J104" s="198"/>
      <c r="K104" s="216"/>
      <c r="L104" s="216"/>
      <c r="M104" s="194"/>
      <c r="N104" s="241">
        <f t="shared" si="7"/>
        <v>0</v>
      </c>
      <c r="O104" s="324"/>
      <c r="P104" s="324"/>
    </row>
    <row r="105" spans="1:16" ht="15" customHeight="1">
      <c r="A105" s="205">
        <f>A102+1</f>
        <v>50</v>
      </c>
      <c r="B105" s="212" t="s">
        <v>525</v>
      </c>
      <c r="C105" s="214">
        <v>1981</v>
      </c>
      <c r="D105" s="223" t="s">
        <v>183</v>
      </c>
      <c r="E105" s="205">
        <v>5</v>
      </c>
      <c r="F105" s="223">
        <v>6472</v>
      </c>
      <c r="G105" s="205">
        <v>365</v>
      </c>
      <c r="H105" s="198">
        <f>I105+J105</f>
        <v>22538428.8</v>
      </c>
      <c r="I105" s="198">
        <f>M105*0.7</f>
        <v>15776900.16</v>
      </c>
      <c r="J105" s="198">
        <f>M105*0.3</f>
        <v>6761528.64</v>
      </c>
      <c r="K105" s="199">
        <v>44560</v>
      </c>
      <c r="L105" s="216" t="s">
        <v>184</v>
      </c>
      <c r="M105" s="194">
        <v>22538428.8</v>
      </c>
      <c r="N105" s="241">
        <f t="shared" si="7"/>
        <v>0</v>
      </c>
      <c r="O105" s="324"/>
      <c r="P105" s="324"/>
    </row>
    <row r="106" spans="1:16" ht="15" customHeight="1">
      <c r="A106" s="370" t="s">
        <v>23</v>
      </c>
      <c r="B106" s="337"/>
      <c r="C106" s="214" t="s">
        <v>261</v>
      </c>
      <c r="D106" s="216" t="s">
        <v>261</v>
      </c>
      <c r="E106" s="216" t="s">
        <v>261</v>
      </c>
      <c r="F106" s="198">
        <f>SUM(F105)</f>
        <v>6472</v>
      </c>
      <c r="G106" s="198">
        <f>SUM(G105)</f>
        <v>365</v>
      </c>
      <c r="H106" s="198">
        <f>SUM(H105)</f>
        <v>22538428.8</v>
      </c>
      <c r="I106" s="198">
        <f>SUM(I105)</f>
        <v>15776900.16</v>
      </c>
      <c r="J106" s="198">
        <f>SUM(J105)</f>
        <v>6761528.64</v>
      </c>
      <c r="K106" s="216" t="s">
        <v>261</v>
      </c>
      <c r="L106" s="216" t="s">
        <v>261</v>
      </c>
      <c r="M106" s="194"/>
      <c r="N106" s="241">
        <f t="shared" si="7"/>
        <v>-22538428.8</v>
      </c>
      <c r="O106" s="324"/>
      <c r="P106" s="324"/>
    </row>
    <row r="107" spans="1:16" ht="15" customHeight="1">
      <c r="A107" s="341" t="s">
        <v>297</v>
      </c>
      <c r="B107" s="342"/>
      <c r="C107" s="206" t="s">
        <v>261</v>
      </c>
      <c r="D107" s="207" t="s">
        <v>261</v>
      </c>
      <c r="E107" s="207" t="s">
        <v>261</v>
      </c>
      <c r="F107" s="178">
        <f>F103+F106</f>
        <v>13576.2</v>
      </c>
      <c r="G107" s="178">
        <f>G103+G106</f>
        <v>614</v>
      </c>
      <c r="H107" s="178">
        <f>H103+H106</f>
        <v>54843173.58</v>
      </c>
      <c r="I107" s="178">
        <f>I103+I106</f>
        <v>38390221.506</v>
      </c>
      <c r="J107" s="178">
        <f>J103+J106</f>
        <v>16452952.074000001</v>
      </c>
      <c r="K107" s="207" t="s">
        <v>261</v>
      </c>
      <c r="L107" s="207" t="s">
        <v>261</v>
      </c>
      <c r="M107" s="194"/>
      <c r="N107" s="241">
        <f t="shared" si="7"/>
        <v>-54843173.58</v>
      </c>
      <c r="O107" s="324"/>
      <c r="P107" s="324"/>
    </row>
    <row r="108" spans="1:16" ht="15" customHeight="1">
      <c r="A108" s="195"/>
      <c r="B108" s="387" t="s">
        <v>35</v>
      </c>
      <c r="C108" s="388"/>
      <c r="D108" s="388"/>
      <c r="E108" s="388"/>
      <c r="F108" s="388"/>
      <c r="G108" s="388"/>
      <c r="H108" s="388"/>
      <c r="I108" s="388"/>
      <c r="J108" s="388"/>
      <c r="K108" s="388"/>
      <c r="L108" s="389"/>
      <c r="M108" s="194"/>
      <c r="N108" s="241">
        <f t="shared" si="7"/>
        <v>0</v>
      </c>
      <c r="O108" s="324"/>
      <c r="P108" s="324"/>
    </row>
    <row r="109" spans="1:16" ht="15" customHeight="1">
      <c r="A109" s="202" t="s">
        <v>36</v>
      </c>
      <c r="B109" s="183"/>
      <c r="C109" s="184"/>
      <c r="D109" s="185"/>
      <c r="E109" s="185"/>
      <c r="F109" s="186"/>
      <c r="G109" s="190"/>
      <c r="H109" s="186"/>
      <c r="I109" s="186"/>
      <c r="J109" s="186"/>
      <c r="K109" s="185"/>
      <c r="L109" s="187"/>
      <c r="M109" s="194"/>
      <c r="N109" s="241">
        <f aca="true" t="shared" si="19" ref="N109:N149">M109-I109-J109</f>
        <v>0</v>
      </c>
      <c r="O109" s="324"/>
      <c r="P109" s="324"/>
    </row>
    <row r="110" spans="1:16" ht="15" customHeight="1">
      <c r="A110" s="195">
        <f>A105+1</f>
        <v>51</v>
      </c>
      <c r="B110" s="188" t="s">
        <v>523</v>
      </c>
      <c r="C110" s="192">
        <v>1980</v>
      </c>
      <c r="D110" s="226" t="s">
        <v>183</v>
      </c>
      <c r="E110" s="226">
        <v>5</v>
      </c>
      <c r="F110" s="257">
        <v>7171.2</v>
      </c>
      <c r="G110" s="228">
        <v>297</v>
      </c>
      <c r="H110" s="198">
        <f>I110+J110</f>
        <v>25366296</v>
      </c>
      <c r="I110" s="198">
        <f>M110*0.7</f>
        <v>17756407.2</v>
      </c>
      <c r="J110" s="198">
        <f>M110*0.3</f>
        <v>7609888.8</v>
      </c>
      <c r="K110" s="199">
        <v>44560</v>
      </c>
      <c r="L110" s="216" t="s">
        <v>184</v>
      </c>
      <c r="M110" s="194">
        <v>25366296</v>
      </c>
      <c r="N110" s="241">
        <f t="shared" si="19"/>
        <v>0</v>
      </c>
      <c r="O110" s="324"/>
      <c r="P110" s="324"/>
    </row>
    <row r="111" spans="1:16" ht="15" customHeight="1">
      <c r="A111" s="370" t="s">
        <v>23</v>
      </c>
      <c r="B111" s="337"/>
      <c r="C111" s="214" t="s">
        <v>261</v>
      </c>
      <c r="D111" s="216" t="s">
        <v>261</v>
      </c>
      <c r="E111" s="216" t="s">
        <v>261</v>
      </c>
      <c r="F111" s="198">
        <f>SUM(F110)</f>
        <v>7171.2</v>
      </c>
      <c r="G111" s="198">
        <f>SUM(G110)</f>
        <v>297</v>
      </c>
      <c r="H111" s="198">
        <f>SUM(H110)</f>
        <v>25366296</v>
      </c>
      <c r="I111" s="198">
        <f>SUM(I110)</f>
        <v>17756407.2</v>
      </c>
      <c r="J111" s="198">
        <f>SUM(J110)</f>
        <v>7609888.8</v>
      </c>
      <c r="K111" s="216" t="s">
        <v>261</v>
      </c>
      <c r="L111" s="216" t="s">
        <v>261</v>
      </c>
      <c r="M111" s="194"/>
      <c r="N111" s="241">
        <f t="shared" si="19"/>
        <v>-25366296</v>
      </c>
      <c r="O111" s="324"/>
      <c r="P111" s="324"/>
    </row>
    <row r="112" spans="1:16" ht="15" customHeight="1">
      <c r="A112" s="202" t="s">
        <v>555</v>
      </c>
      <c r="B112" s="319"/>
      <c r="C112" s="320"/>
      <c r="D112" s="321"/>
      <c r="E112" s="321"/>
      <c r="F112" s="180"/>
      <c r="G112" s="180"/>
      <c r="H112" s="180"/>
      <c r="I112" s="180"/>
      <c r="J112" s="180"/>
      <c r="K112" s="321"/>
      <c r="L112" s="321"/>
      <c r="M112" s="194"/>
      <c r="N112" s="241">
        <f t="shared" si="19"/>
        <v>0</v>
      </c>
      <c r="O112" s="324"/>
      <c r="P112" s="324"/>
    </row>
    <row r="113" spans="1:16" ht="15" customHeight="1">
      <c r="A113" s="195">
        <f>A110+1</f>
        <v>52</v>
      </c>
      <c r="B113" s="319" t="s">
        <v>556</v>
      </c>
      <c r="C113" s="320">
        <v>1989</v>
      </c>
      <c r="D113" s="321"/>
      <c r="E113" s="321"/>
      <c r="F113" s="180">
        <v>5036.7</v>
      </c>
      <c r="G113" s="180">
        <v>207</v>
      </c>
      <c r="H113" s="198">
        <f>I113+J113</f>
        <v>14235768</v>
      </c>
      <c r="I113" s="198">
        <f>M113*0.7</f>
        <v>9965037.6</v>
      </c>
      <c r="J113" s="198">
        <f>M113*0.3</f>
        <v>4270730.399999999</v>
      </c>
      <c r="K113" s="321"/>
      <c r="L113" s="321"/>
      <c r="M113" s="194">
        <v>14235768</v>
      </c>
      <c r="N113" s="241">
        <f t="shared" si="19"/>
        <v>0</v>
      </c>
      <c r="O113" s="324"/>
      <c r="P113" s="324"/>
    </row>
    <row r="114" spans="1:16" ht="15" customHeight="1">
      <c r="A114" s="370" t="s">
        <v>23</v>
      </c>
      <c r="B114" s="337"/>
      <c r="C114" s="320" t="s">
        <v>261</v>
      </c>
      <c r="D114" s="321" t="s">
        <v>261</v>
      </c>
      <c r="E114" s="321" t="s">
        <v>261</v>
      </c>
      <c r="F114" s="198">
        <f>SUM(F113)</f>
        <v>5036.7</v>
      </c>
      <c r="G114" s="198">
        <f>SUM(G113)</f>
        <v>207</v>
      </c>
      <c r="H114" s="198">
        <f>SUM(H113)</f>
        <v>14235768</v>
      </c>
      <c r="I114" s="198">
        <f>SUM(I113)</f>
        <v>9965037.6</v>
      </c>
      <c r="J114" s="198">
        <f>SUM(J113)</f>
        <v>4270730.399999999</v>
      </c>
      <c r="K114" s="321" t="s">
        <v>261</v>
      </c>
      <c r="L114" s="321" t="s">
        <v>261</v>
      </c>
      <c r="M114" s="194"/>
      <c r="N114" s="241">
        <f t="shared" si="19"/>
        <v>-14235768</v>
      </c>
      <c r="O114" s="324"/>
      <c r="P114" s="324"/>
    </row>
    <row r="115" spans="1:16" ht="15" customHeight="1">
      <c r="A115" s="341" t="s">
        <v>37</v>
      </c>
      <c r="B115" s="342"/>
      <c r="C115" s="206" t="s">
        <v>261</v>
      </c>
      <c r="D115" s="207" t="s">
        <v>261</v>
      </c>
      <c r="E115" s="207" t="s">
        <v>261</v>
      </c>
      <c r="F115" s="178">
        <f>F111+F114</f>
        <v>12207.9</v>
      </c>
      <c r="G115" s="178">
        <f>G111+G114</f>
        <v>504</v>
      </c>
      <c r="H115" s="178">
        <f>H111+H114</f>
        <v>39602064</v>
      </c>
      <c r="I115" s="178">
        <f>I111+I114</f>
        <v>27721444.799999997</v>
      </c>
      <c r="J115" s="178">
        <f>J111+J114</f>
        <v>11880619.2</v>
      </c>
      <c r="K115" s="207" t="s">
        <v>261</v>
      </c>
      <c r="L115" s="207" t="s">
        <v>261</v>
      </c>
      <c r="M115" s="194"/>
      <c r="N115" s="241">
        <f t="shared" si="19"/>
        <v>-39602064</v>
      </c>
      <c r="O115" s="324"/>
      <c r="P115" s="324"/>
    </row>
    <row r="116" spans="1:16" ht="15" customHeight="1">
      <c r="A116" s="406" t="s">
        <v>38</v>
      </c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8"/>
      <c r="M116" s="194"/>
      <c r="N116" s="241">
        <f t="shared" si="19"/>
        <v>0</v>
      </c>
      <c r="O116" s="324"/>
      <c r="P116" s="324"/>
    </row>
    <row r="117" spans="1:16" ht="15" customHeight="1">
      <c r="A117" s="202" t="s">
        <v>513</v>
      </c>
      <c r="B117" s="196"/>
      <c r="C117" s="197"/>
      <c r="D117" s="203"/>
      <c r="E117" s="194"/>
      <c r="F117" s="194"/>
      <c r="G117" s="191"/>
      <c r="H117" s="198"/>
      <c r="I117" s="198"/>
      <c r="J117" s="198"/>
      <c r="K117" s="199"/>
      <c r="L117" s="216"/>
      <c r="M117" s="194"/>
      <c r="N117" s="241">
        <f t="shared" si="19"/>
        <v>0</v>
      </c>
      <c r="O117" s="324"/>
      <c r="P117" s="324"/>
    </row>
    <row r="118" spans="1:16" ht="15" customHeight="1">
      <c r="A118" s="195">
        <f>A113+1</f>
        <v>53</v>
      </c>
      <c r="B118" s="196" t="s">
        <v>514</v>
      </c>
      <c r="C118" s="220">
        <v>1969</v>
      </c>
      <c r="D118" s="220" t="s">
        <v>185</v>
      </c>
      <c r="E118" s="182">
        <v>5</v>
      </c>
      <c r="F118" s="257">
        <v>3189.5</v>
      </c>
      <c r="G118" s="205">
        <v>138</v>
      </c>
      <c r="H118" s="198">
        <f>I118+J118</f>
        <v>12761990.399999999</v>
      </c>
      <c r="I118" s="198">
        <f>M118*0.7</f>
        <v>8933393.28</v>
      </c>
      <c r="J118" s="198">
        <f>M118*0.3</f>
        <v>3828597.12</v>
      </c>
      <c r="K118" s="199">
        <v>44560</v>
      </c>
      <c r="L118" s="216" t="s">
        <v>184</v>
      </c>
      <c r="M118" s="194">
        <v>12761990.4</v>
      </c>
      <c r="N118" s="241">
        <f t="shared" si="19"/>
        <v>0</v>
      </c>
      <c r="O118" s="324"/>
      <c r="P118" s="324"/>
    </row>
    <row r="119" spans="1:16" ht="15" customHeight="1">
      <c r="A119" s="195">
        <f>A118+1</f>
        <v>54</v>
      </c>
      <c r="B119" s="196" t="s">
        <v>515</v>
      </c>
      <c r="C119" s="220">
        <v>1975</v>
      </c>
      <c r="D119" s="220" t="s">
        <v>185</v>
      </c>
      <c r="E119" s="182">
        <v>5</v>
      </c>
      <c r="F119" s="257">
        <v>3707</v>
      </c>
      <c r="G119" s="205">
        <v>143</v>
      </c>
      <c r="H119" s="198">
        <f>I119+J119</f>
        <v>14968766.4</v>
      </c>
      <c r="I119" s="198">
        <f>M119*0.7</f>
        <v>10478136.48</v>
      </c>
      <c r="J119" s="198">
        <f>M119*0.3</f>
        <v>4490629.92</v>
      </c>
      <c r="K119" s="199">
        <v>44560</v>
      </c>
      <c r="L119" s="216" t="s">
        <v>184</v>
      </c>
      <c r="M119" s="194">
        <v>14968766.4</v>
      </c>
      <c r="N119" s="241">
        <f t="shared" si="19"/>
        <v>0</v>
      </c>
      <c r="O119" s="324"/>
      <c r="P119" s="324"/>
    </row>
    <row r="120" spans="1:16" ht="15" customHeight="1">
      <c r="A120" s="195">
        <f>A119+1</f>
        <v>55</v>
      </c>
      <c r="B120" s="196" t="s">
        <v>516</v>
      </c>
      <c r="C120" s="220">
        <v>1993</v>
      </c>
      <c r="D120" s="220" t="s">
        <v>369</v>
      </c>
      <c r="E120" s="182">
        <v>5</v>
      </c>
      <c r="F120" s="257">
        <v>4048.8</v>
      </c>
      <c r="G120" s="205">
        <v>156</v>
      </c>
      <c r="H120" s="198">
        <f>I120+J120</f>
        <v>17831259.6</v>
      </c>
      <c r="I120" s="198">
        <f>M120*0.7</f>
        <v>12481881.72</v>
      </c>
      <c r="J120" s="198">
        <f>M120*0.3</f>
        <v>5349377.88</v>
      </c>
      <c r="K120" s="199">
        <v>44561</v>
      </c>
      <c r="L120" s="216" t="s">
        <v>184</v>
      </c>
      <c r="M120" s="194">
        <v>17831259.6</v>
      </c>
      <c r="N120" s="241">
        <f t="shared" si="19"/>
        <v>0</v>
      </c>
      <c r="O120" s="324"/>
      <c r="P120" s="324"/>
    </row>
    <row r="121" spans="1:16" s="219" customFormat="1" ht="15">
      <c r="A121" s="200" t="s">
        <v>23</v>
      </c>
      <c r="B121" s="196"/>
      <c r="C121" s="214" t="s">
        <v>261</v>
      </c>
      <c r="D121" s="216" t="s">
        <v>261</v>
      </c>
      <c r="E121" s="216" t="s">
        <v>261</v>
      </c>
      <c r="F121" s="201">
        <f>SUM(F118:F120)</f>
        <v>10945.3</v>
      </c>
      <c r="G121" s="201">
        <f>SUM(G118:G120)</f>
        <v>437</v>
      </c>
      <c r="H121" s="201">
        <f>SUM(H118:H120)</f>
        <v>45562016.4</v>
      </c>
      <c r="I121" s="201">
        <f>SUM(I118:I120)</f>
        <v>31893411.479999997</v>
      </c>
      <c r="J121" s="201">
        <f>SUM(J118:J120)</f>
        <v>13668604.92</v>
      </c>
      <c r="K121" s="214" t="s">
        <v>261</v>
      </c>
      <c r="L121" s="214" t="s">
        <v>261</v>
      </c>
      <c r="M121" s="193"/>
      <c r="N121" s="241">
        <f t="shared" si="19"/>
        <v>-45562016.4</v>
      </c>
      <c r="O121" s="324"/>
      <c r="P121" s="324"/>
    </row>
    <row r="122" spans="1:16" ht="15" customHeight="1">
      <c r="A122" s="202" t="s">
        <v>39</v>
      </c>
      <c r="B122" s="196"/>
      <c r="C122" s="197"/>
      <c r="D122" s="203"/>
      <c r="E122" s="193"/>
      <c r="F122" s="193"/>
      <c r="G122" s="197"/>
      <c r="H122" s="198"/>
      <c r="I122" s="198"/>
      <c r="J122" s="198"/>
      <c r="K122" s="199"/>
      <c r="L122" s="216"/>
      <c r="M122" s="194"/>
      <c r="N122" s="241">
        <f t="shared" si="19"/>
        <v>0</v>
      </c>
      <c r="O122" s="324"/>
      <c r="P122" s="324"/>
    </row>
    <row r="123" spans="1:16" ht="15" customHeight="1">
      <c r="A123" s="195">
        <f>A120+1</f>
        <v>56</v>
      </c>
      <c r="B123" s="196" t="s">
        <v>517</v>
      </c>
      <c r="C123" s="220">
        <v>2003</v>
      </c>
      <c r="D123" s="223" t="s">
        <v>186</v>
      </c>
      <c r="E123" s="182">
        <v>9</v>
      </c>
      <c r="F123" s="223">
        <v>6311.2</v>
      </c>
      <c r="G123" s="205">
        <v>199</v>
      </c>
      <c r="H123" s="198">
        <f>I123+J123</f>
        <v>23598915.6</v>
      </c>
      <c r="I123" s="198">
        <f>M123*0.7</f>
        <v>16519240.92</v>
      </c>
      <c r="J123" s="198">
        <f>M123*0.3</f>
        <v>7079674.680000001</v>
      </c>
      <c r="K123" s="199">
        <v>44560</v>
      </c>
      <c r="L123" s="216" t="s">
        <v>184</v>
      </c>
      <c r="M123" s="194">
        <v>23598915.6</v>
      </c>
      <c r="N123" s="241">
        <f t="shared" si="19"/>
        <v>0</v>
      </c>
      <c r="O123" s="324"/>
      <c r="P123" s="324"/>
    </row>
    <row r="124" spans="1:16" ht="15" customHeight="1">
      <c r="A124" s="195">
        <f>A123+1</f>
        <v>57</v>
      </c>
      <c r="B124" s="196" t="s">
        <v>518</v>
      </c>
      <c r="C124" s="220">
        <v>1980</v>
      </c>
      <c r="D124" s="223" t="s">
        <v>186</v>
      </c>
      <c r="E124" s="182">
        <v>5</v>
      </c>
      <c r="F124" s="223">
        <v>3430.2</v>
      </c>
      <c r="G124" s="205">
        <v>122</v>
      </c>
      <c r="H124" s="198">
        <f>I124+J124</f>
        <v>16226254.8</v>
      </c>
      <c r="I124" s="198">
        <f>M124*0.7</f>
        <v>11358378.36</v>
      </c>
      <c r="J124" s="198">
        <f>M124*0.3</f>
        <v>4867876.44</v>
      </c>
      <c r="K124" s="199">
        <v>44560</v>
      </c>
      <c r="L124" s="216" t="s">
        <v>184</v>
      </c>
      <c r="M124" s="194">
        <v>16226254.8</v>
      </c>
      <c r="N124" s="241">
        <f t="shared" si="19"/>
        <v>0</v>
      </c>
      <c r="O124" s="324"/>
      <c r="P124" s="324"/>
    </row>
    <row r="125" spans="1:16" ht="15" customHeight="1">
      <c r="A125" s="195">
        <f>A124+1</f>
        <v>58</v>
      </c>
      <c r="B125" s="196" t="s">
        <v>298</v>
      </c>
      <c r="C125" s="197">
        <v>1995</v>
      </c>
      <c r="D125" s="223" t="s">
        <v>186</v>
      </c>
      <c r="E125" s="182">
        <v>9</v>
      </c>
      <c r="F125" s="223">
        <v>4305.4</v>
      </c>
      <c r="G125" s="205">
        <v>148</v>
      </c>
      <c r="H125" s="198">
        <f>I125+J125</f>
        <v>20459218.8</v>
      </c>
      <c r="I125" s="198">
        <f>M125*0.7</f>
        <v>14321453.16</v>
      </c>
      <c r="J125" s="198">
        <f>M125*0.3</f>
        <v>6137765.64</v>
      </c>
      <c r="K125" s="199">
        <v>44560</v>
      </c>
      <c r="L125" s="216" t="s">
        <v>184</v>
      </c>
      <c r="M125" s="194">
        <v>20459218.8</v>
      </c>
      <c r="N125" s="241">
        <f t="shared" si="19"/>
        <v>0</v>
      </c>
      <c r="O125" s="324"/>
      <c r="P125" s="324"/>
    </row>
    <row r="126" spans="1:16" s="219" customFormat="1" ht="15">
      <c r="A126" s="200" t="s">
        <v>23</v>
      </c>
      <c r="B126" s="196"/>
      <c r="C126" s="214" t="s">
        <v>261</v>
      </c>
      <c r="D126" s="216" t="s">
        <v>261</v>
      </c>
      <c r="E126" s="216" t="s">
        <v>261</v>
      </c>
      <c r="F126" s="201">
        <f>SUM(F123:F125)</f>
        <v>14046.8</v>
      </c>
      <c r="G126" s="201">
        <f>SUM(G123:G125)</f>
        <v>469</v>
      </c>
      <c r="H126" s="201">
        <f>SUM(H123:H125)</f>
        <v>60284389.2</v>
      </c>
      <c r="I126" s="201">
        <f>SUM(I123:I125)</f>
        <v>42199072.44</v>
      </c>
      <c r="J126" s="201">
        <f>SUM(J123:J125)</f>
        <v>18085316.76</v>
      </c>
      <c r="K126" s="214" t="s">
        <v>261</v>
      </c>
      <c r="L126" s="214" t="s">
        <v>261</v>
      </c>
      <c r="M126" s="193"/>
      <c r="N126" s="241">
        <f t="shared" si="19"/>
        <v>-60284389.2</v>
      </c>
      <c r="O126" s="324"/>
      <c r="P126" s="324"/>
    </row>
    <row r="127" spans="1:16" s="260" customFormat="1" ht="15" customHeight="1">
      <c r="A127" s="362" t="s">
        <v>40</v>
      </c>
      <c r="B127" s="362"/>
      <c r="C127" s="214" t="s">
        <v>261</v>
      </c>
      <c r="D127" s="216" t="s">
        <v>261</v>
      </c>
      <c r="E127" s="216" t="s">
        <v>261</v>
      </c>
      <c r="F127" s="204">
        <f>F126+F121</f>
        <v>24992.1</v>
      </c>
      <c r="G127" s="204">
        <f>G126+G121</f>
        <v>906</v>
      </c>
      <c r="H127" s="204">
        <f>H126+H121</f>
        <v>105846405.6</v>
      </c>
      <c r="I127" s="204">
        <f>I126+I121</f>
        <v>74092483.91999999</v>
      </c>
      <c r="J127" s="204">
        <f>J126+J121</f>
        <v>31753921.68</v>
      </c>
      <c r="K127" s="214" t="s">
        <v>261</v>
      </c>
      <c r="L127" s="214" t="s">
        <v>261</v>
      </c>
      <c r="M127" s="258"/>
      <c r="N127" s="241">
        <f t="shared" si="19"/>
        <v>-105846405.6</v>
      </c>
      <c r="O127" s="324"/>
      <c r="P127" s="324"/>
    </row>
    <row r="128" spans="1:16" ht="15" customHeight="1">
      <c r="A128" s="425" t="s">
        <v>299</v>
      </c>
      <c r="B128" s="425"/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194"/>
      <c r="N128" s="241">
        <f t="shared" si="19"/>
        <v>0</v>
      </c>
      <c r="O128" s="324"/>
      <c r="P128" s="324"/>
    </row>
    <row r="129" spans="1:16" ht="15" customHeight="1">
      <c r="A129" s="202" t="s">
        <v>300</v>
      </c>
      <c r="B129" s="196"/>
      <c r="C129" s="205"/>
      <c r="D129" s="203"/>
      <c r="E129" s="194"/>
      <c r="F129" s="194"/>
      <c r="G129" s="205"/>
      <c r="H129" s="198"/>
      <c r="I129" s="198"/>
      <c r="J129" s="198"/>
      <c r="K129" s="199"/>
      <c r="L129" s="216"/>
      <c r="M129" s="194"/>
      <c r="N129" s="241">
        <f t="shared" si="19"/>
        <v>0</v>
      </c>
      <c r="O129" s="324"/>
      <c r="P129" s="324"/>
    </row>
    <row r="130" spans="1:16" ht="15" customHeight="1">
      <c r="A130" s="195">
        <f>A125+1</f>
        <v>59</v>
      </c>
      <c r="B130" s="196" t="s">
        <v>519</v>
      </c>
      <c r="C130" s="197">
        <v>1978</v>
      </c>
      <c r="D130" s="223" t="s">
        <v>185</v>
      </c>
      <c r="E130" s="205">
        <v>9</v>
      </c>
      <c r="F130" s="223">
        <v>4579.6</v>
      </c>
      <c r="G130" s="205">
        <v>110</v>
      </c>
      <c r="H130" s="198">
        <f>I130+J130</f>
        <v>7122878.4</v>
      </c>
      <c r="I130" s="198">
        <f>M130*0.7</f>
        <v>4986014.88</v>
      </c>
      <c r="J130" s="198">
        <f>M130*0.3</f>
        <v>2136863.52</v>
      </c>
      <c r="K130" s="199">
        <v>44560</v>
      </c>
      <c r="L130" s="216" t="s">
        <v>184</v>
      </c>
      <c r="M130" s="194">
        <v>7122878.4</v>
      </c>
      <c r="N130" s="241">
        <f t="shared" si="19"/>
        <v>0</v>
      </c>
      <c r="O130" s="324"/>
      <c r="P130" s="324"/>
    </row>
    <row r="131" spans="1:16" ht="15" customHeight="1">
      <c r="A131" s="348" t="s">
        <v>23</v>
      </c>
      <c r="B131" s="348"/>
      <c r="C131" s="214" t="s">
        <v>261</v>
      </c>
      <c r="D131" s="216" t="s">
        <v>261</v>
      </c>
      <c r="E131" s="216" t="s">
        <v>261</v>
      </c>
      <c r="F131" s="198">
        <f>SUM(F129:F130)</f>
        <v>4579.6</v>
      </c>
      <c r="G131" s="198">
        <f>SUM(G129:G130)</f>
        <v>110</v>
      </c>
      <c r="H131" s="198">
        <f>SUM(H129:H130)</f>
        <v>7122878.4</v>
      </c>
      <c r="I131" s="198">
        <f>SUM(I129:I130)</f>
        <v>4986014.88</v>
      </c>
      <c r="J131" s="198">
        <f>SUM(J129:J130)</f>
        <v>2136863.52</v>
      </c>
      <c r="K131" s="216" t="s">
        <v>261</v>
      </c>
      <c r="L131" s="216" t="s">
        <v>261</v>
      </c>
      <c r="M131" s="194"/>
      <c r="N131" s="241">
        <f t="shared" si="19"/>
        <v>-7122878.4</v>
      </c>
      <c r="O131" s="324"/>
      <c r="P131" s="324"/>
    </row>
    <row r="132" spans="1:16" ht="15" customHeight="1">
      <c r="A132" s="362" t="s">
        <v>302</v>
      </c>
      <c r="B132" s="362"/>
      <c r="C132" s="206" t="s">
        <v>261</v>
      </c>
      <c r="D132" s="207" t="s">
        <v>261</v>
      </c>
      <c r="E132" s="207" t="s">
        <v>261</v>
      </c>
      <c r="F132" s="208">
        <f>F131</f>
        <v>4579.6</v>
      </c>
      <c r="G132" s="210">
        <f>G131</f>
        <v>110</v>
      </c>
      <c r="H132" s="208">
        <f>H131</f>
        <v>7122878.4</v>
      </c>
      <c r="I132" s="208">
        <f>I131</f>
        <v>4986014.88</v>
      </c>
      <c r="J132" s="208">
        <f>J131</f>
        <v>2136863.52</v>
      </c>
      <c r="K132" s="207" t="s">
        <v>261</v>
      </c>
      <c r="L132" s="207" t="s">
        <v>261</v>
      </c>
      <c r="M132" s="194"/>
      <c r="N132" s="241">
        <f t="shared" si="19"/>
        <v>-7122878.4</v>
      </c>
      <c r="O132" s="324"/>
      <c r="P132" s="324"/>
    </row>
    <row r="133" spans="1:16" ht="15" customHeight="1">
      <c r="A133" s="195"/>
      <c r="B133" s="387" t="s">
        <v>432</v>
      </c>
      <c r="C133" s="388"/>
      <c r="D133" s="388"/>
      <c r="E133" s="388"/>
      <c r="F133" s="388"/>
      <c r="G133" s="388"/>
      <c r="H133" s="388"/>
      <c r="I133" s="388"/>
      <c r="J133" s="388"/>
      <c r="K133" s="388"/>
      <c r="L133" s="389"/>
      <c r="M133" s="194"/>
      <c r="N133" s="241">
        <f t="shared" si="19"/>
        <v>0</v>
      </c>
      <c r="O133" s="324"/>
      <c r="P133" s="324"/>
    </row>
    <row r="134" spans="1:16" ht="15" customHeight="1">
      <c r="A134" s="195">
        <f>A130+1</f>
        <v>60</v>
      </c>
      <c r="B134" s="215" t="s">
        <v>521</v>
      </c>
      <c r="C134" s="214">
        <v>1969</v>
      </c>
      <c r="D134" s="194" t="s">
        <v>185</v>
      </c>
      <c r="E134" s="261">
        <v>5</v>
      </c>
      <c r="F134" s="220">
        <v>3708.3</v>
      </c>
      <c r="G134" s="262" t="s">
        <v>536</v>
      </c>
      <c r="H134" s="198">
        <f>I134+J134</f>
        <v>16451414.4</v>
      </c>
      <c r="I134" s="198">
        <f>M134*0.7</f>
        <v>11515990.08</v>
      </c>
      <c r="J134" s="198">
        <f>M134*0.3</f>
        <v>4935424.32</v>
      </c>
      <c r="K134" s="199">
        <v>44560</v>
      </c>
      <c r="L134" s="216" t="s">
        <v>184</v>
      </c>
      <c r="M134" s="177">
        <v>16451414.4</v>
      </c>
      <c r="N134" s="241">
        <f t="shared" si="19"/>
        <v>0</v>
      </c>
      <c r="O134" s="324"/>
      <c r="P134" s="324"/>
    </row>
    <row r="135" spans="1:16" s="260" customFormat="1" ht="15" customHeight="1">
      <c r="A135" s="362" t="s">
        <v>452</v>
      </c>
      <c r="B135" s="362"/>
      <c r="C135" s="206" t="s">
        <v>261</v>
      </c>
      <c r="D135" s="207" t="s">
        <v>261</v>
      </c>
      <c r="E135" s="207" t="s">
        <v>261</v>
      </c>
      <c r="F135" s="208">
        <f>SUM(F133:F134)</f>
        <v>3708.3</v>
      </c>
      <c r="G135" s="208">
        <f>SUM(G133:G134)</f>
        <v>0</v>
      </c>
      <c r="H135" s="208">
        <f>SUM(H133:H134)</f>
        <v>16451414.4</v>
      </c>
      <c r="I135" s="208">
        <f>SUM(I133:I134)</f>
        <v>11515990.08</v>
      </c>
      <c r="J135" s="208">
        <f>SUM(J133:J134)</f>
        <v>4935424.32</v>
      </c>
      <c r="K135" s="207" t="s">
        <v>261</v>
      </c>
      <c r="L135" s="207" t="s">
        <v>261</v>
      </c>
      <c r="M135" s="258"/>
      <c r="N135" s="241">
        <f t="shared" si="19"/>
        <v>-16451414.4</v>
      </c>
      <c r="O135" s="324"/>
      <c r="P135" s="324"/>
    </row>
    <row r="136" spans="1:16" ht="15" customHeight="1">
      <c r="A136" s="425" t="s">
        <v>448</v>
      </c>
      <c r="B136" s="425"/>
      <c r="C136" s="425"/>
      <c r="D136" s="425"/>
      <c r="E136" s="425"/>
      <c r="F136" s="425"/>
      <c r="G136" s="425"/>
      <c r="H136" s="425"/>
      <c r="I136" s="425"/>
      <c r="J136" s="425"/>
      <c r="K136" s="425"/>
      <c r="L136" s="425"/>
      <c r="M136" s="194"/>
      <c r="N136" s="241">
        <f t="shared" si="19"/>
        <v>0</v>
      </c>
      <c r="O136" s="324"/>
      <c r="P136" s="324"/>
    </row>
    <row r="137" spans="1:16" ht="15" customHeight="1">
      <c r="A137" s="211" t="s">
        <v>41</v>
      </c>
      <c r="B137" s="196"/>
      <c r="C137" s="205"/>
      <c r="D137" s="203"/>
      <c r="E137" s="194"/>
      <c r="F137" s="194"/>
      <c r="G137" s="205"/>
      <c r="H137" s="198"/>
      <c r="I137" s="198"/>
      <c r="J137" s="198"/>
      <c r="K137" s="199"/>
      <c r="L137" s="216"/>
      <c r="M137" s="194"/>
      <c r="N137" s="241">
        <f t="shared" si="19"/>
        <v>0</v>
      </c>
      <c r="O137" s="324"/>
      <c r="P137" s="324"/>
    </row>
    <row r="138" spans="1:16" ht="15" customHeight="1">
      <c r="A138" s="195">
        <f>A134+1</f>
        <v>61</v>
      </c>
      <c r="B138" s="196" t="s">
        <v>520</v>
      </c>
      <c r="C138" s="205">
        <v>1959</v>
      </c>
      <c r="D138" s="223" t="s">
        <v>185</v>
      </c>
      <c r="E138" s="205">
        <v>2</v>
      </c>
      <c r="F138" s="223">
        <v>656.51</v>
      </c>
      <c r="G138" s="205">
        <v>25</v>
      </c>
      <c r="H138" s="198">
        <f>I138+J138</f>
        <v>20703654</v>
      </c>
      <c r="I138" s="198">
        <f>M138*0.7</f>
        <v>14492557.799999999</v>
      </c>
      <c r="J138" s="198">
        <f>M138*0.3</f>
        <v>6211096.2</v>
      </c>
      <c r="K138" s="199">
        <v>44560</v>
      </c>
      <c r="L138" s="216" t="s">
        <v>184</v>
      </c>
      <c r="M138" s="177">
        <v>20703654</v>
      </c>
      <c r="N138" s="241">
        <f t="shared" si="19"/>
        <v>0</v>
      </c>
      <c r="O138" s="324"/>
      <c r="P138" s="324"/>
    </row>
    <row r="139" spans="1:16" ht="15" customHeight="1">
      <c r="A139" s="195">
        <f>A138+1</f>
        <v>62</v>
      </c>
      <c r="B139" s="196" t="s">
        <v>542</v>
      </c>
      <c r="C139" s="205">
        <v>1961</v>
      </c>
      <c r="D139" s="223" t="s">
        <v>185</v>
      </c>
      <c r="E139" s="205">
        <v>2</v>
      </c>
      <c r="F139" s="223">
        <v>520.85</v>
      </c>
      <c r="G139" s="205">
        <v>22</v>
      </c>
      <c r="H139" s="198">
        <f>I139+J139</f>
        <v>4438989</v>
      </c>
      <c r="I139" s="198">
        <f>M139*0.7</f>
        <v>3107292.3</v>
      </c>
      <c r="J139" s="198">
        <f>M139*0.3</f>
        <v>1331696.7</v>
      </c>
      <c r="K139" s="199">
        <v>44560</v>
      </c>
      <c r="L139" s="216" t="s">
        <v>184</v>
      </c>
      <c r="M139" s="264">
        <v>4438989</v>
      </c>
      <c r="N139" s="241">
        <f t="shared" si="19"/>
        <v>0</v>
      </c>
      <c r="O139" s="324"/>
      <c r="P139" s="324"/>
    </row>
    <row r="140" spans="1:16" ht="15" customHeight="1">
      <c r="A140" s="195">
        <f>A139+1</f>
        <v>63</v>
      </c>
      <c r="B140" s="196" t="s">
        <v>543</v>
      </c>
      <c r="C140" s="220">
        <v>1968</v>
      </c>
      <c r="D140" s="223" t="s">
        <v>532</v>
      </c>
      <c r="E140" s="205">
        <v>2</v>
      </c>
      <c r="F140" s="223">
        <v>308.5</v>
      </c>
      <c r="G140" s="205">
        <v>13</v>
      </c>
      <c r="H140" s="198">
        <f>I140+J140</f>
        <v>3217382.9999999995</v>
      </c>
      <c r="I140" s="198">
        <f>M140*0.7</f>
        <v>2252168.0999999996</v>
      </c>
      <c r="J140" s="198">
        <f>M140*0.3</f>
        <v>965214.8999999999</v>
      </c>
      <c r="K140" s="199">
        <v>44560</v>
      </c>
      <c r="L140" s="216" t="s">
        <v>184</v>
      </c>
      <c r="M140" s="264">
        <v>3217383</v>
      </c>
      <c r="N140" s="241">
        <f t="shared" si="19"/>
        <v>0</v>
      </c>
      <c r="O140" s="324"/>
      <c r="P140" s="324"/>
    </row>
    <row r="141" spans="1:16" ht="15" customHeight="1">
      <c r="A141" s="195">
        <f>A140+1</f>
        <v>64</v>
      </c>
      <c r="B141" s="196" t="s">
        <v>544</v>
      </c>
      <c r="C141" s="220">
        <v>1960</v>
      </c>
      <c r="D141" s="223" t="s">
        <v>369</v>
      </c>
      <c r="E141" s="205">
        <v>2</v>
      </c>
      <c r="F141" s="223">
        <v>510.5</v>
      </c>
      <c r="G141" s="205">
        <v>11</v>
      </c>
      <c r="H141" s="198">
        <f>I141+J141</f>
        <v>4063986</v>
      </c>
      <c r="I141" s="198">
        <f>M141*0.7</f>
        <v>2844790.1999999997</v>
      </c>
      <c r="J141" s="198">
        <f>M141*0.3</f>
        <v>1219195.8</v>
      </c>
      <c r="K141" s="199">
        <v>44560</v>
      </c>
      <c r="L141" s="216" t="s">
        <v>184</v>
      </c>
      <c r="M141" s="264">
        <v>4063986</v>
      </c>
      <c r="N141" s="241">
        <f t="shared" si="19"/>
        <v>0</v>
      </c>
      <c r="O141" s="324"/>
      <c r="P141" s="324"/>
    </row>
    <row r="142" spans="1:16" ht="15" customHeight="1">
      <c r="A142" s="348" t="s">
        <v>23</v>
      </c>
      <c r="B142" s="348"/>
      <c r="C142" s="214" t="s">
        <v>261</v>
      </c>
      <c r="D142" s="216" t="s">
        <v>261</v>
      </c>
      <c r="E142" s="216" t="s">
        <v>261</v>
      </c>
      <c r="F142" s="198">
        <f>SUM(F138:F141)</f>
        <v>1996.3600000000001</v>
      </c>
      <c r="G142" s="198">
        <f>SUM(G138:G141)</f>
        <v>71</v>
      </c>
      <c r="H142" s="198">
        <f>SUM(H138:H141)</f>
        <v>32424012</v>
      </c>
      <c r="I142" s="198">
        <f>SUM(I138:I141)</f>
        <v>22696808.399999995</v>
      </c>
      <c r="J142" s="198">
        <f>SUM(J138:J141)</f>
        <v>9727203.600000001</v>
      </c>
      <c r="K142" s="216" t="s">
        <v>261</v>
      </c>
      <c r="L142" s="216" t="s">
        <v>261</v>
      </c>
      <c r="M142" s="265"/>
      <c r="N142" s="241">
        <f t="shared" si="19"/>
        <v>-32424011.999999996</v>
      </c>
      <c r="O142" s="324"/>
      <c r="P142" s="324"/>
    </row>
    <row r="143" spans="1:16" ht="15" customHeight="1">
      <c r="A143" s="341" t="s">
        <v>42</v>
      </c>
      <c r="B143" s="342"/>
      <c r="C143" s="214"/>
      <c r="D143" s="216"/>
      <c r="E143" s="216"/>
      <c r="F143" s="208">
        <f>F142</f>
        <v>1996.3600000000001</v>
      </c>
      <c r="G143" s="208">
        <f>G142</f>
        <v>71</v>
      </c>
      <c r="H143" s="208">
        <f>H142</f>
        <v>32424012</v>
      </c>
      <c r="I143" s="208">
        <f>I142</f>
        <v>22696808.399999995</v>
      </c>
      <c r="J143" s="208">
        <f>J142</f>
        <v>9727203.600000001</v>
      </c>
      <c r="K143" s="216" t="s">
        <v>261</v>
      </c>
      <c r="L143" s="216" t="s">
        <v>261</v>
      </c>
      <c r="M143" s="194"/>
      <c r="N143" s="241">
        <f t="shared" si="19"/>
        <v>-32424011.999999996</v>
      </c>
      <c r="O143" s="324"/>
      <c r="P143" s="263"/>
    </row>
    <row r="144" spans="1:14" s="260" customFormat="1" ht="15">
      <c r="A144" s="365" t="s">
        <v>43</v>
      </c>
      <c r="B144" s="366"/>
      <c r="C144" s="206" t="s">
        <v>261</v>
      </c>
      <c r="D144" s="207" t="s">
        <v>261</v>
      </c>
      <c r="E144" s="206" t="s">
        <v>261</v>
      </c>
      <c r="F144" s="208">
        <f>F37+F14+F78+F99+F107+F127+F132+F143+F56+F135+F115</f>
        <v>134594.83000000002</v>
      </c>
      <c r="G144" s="208">
        <f>G37+G14+G78+G99+G107+G127+G132+G143+G56+G135+G115</f>
        <v>5783</v>
      </c>
      <c r="H144" s="208">
        <f>H143+H135+H132+H127+H115+H107+H99+H78+H56+H37+H14</f>
        <v>714082725.5749999</v>
      </c>
      <c r="I144" s="208">
        <v>499857907.91</v>
      </c>
      <c r="J144" s="208">
        <f>J143+J135+J132+J127+J115+J107+J99+J78+J56+J37+J14</f>
        <v>214224817.674</v>
      </c>
      <c r="K144" s="207" t="s">
        <v>261</v>
      </c>
      <c r="L144" s="207" t="s">
        <v>261</v>
      </c>
      <c r="M144" s="258"/>
      <c r="N144" s="241">
        <f t="shared" si="19"/>
        <v>-714082725.584</v>
      </c>
    </row>
    <row r="145" spans="1:14" s="260" customFormat="1" ht="15" customHeight="1">
      <c r="A145" s="365" t="s">
        <v>322</v>
      </c>
      <c r="B145" s="366"/>
      <c r="C145" s="206"/>
      <c r="D145" s="207"/>
      <c r="E145" s="206"/>
      <c r="F145" s="208"/>
      <c r="G145" s="210"/>
      <c r="H145" s="266">
        <v>15281370.33</v>
      </c>
      <c r="I145" s="267"/>
      <c r="J145" s="208">
        <f>H145</f>
        <v>15281370.33</v>
      </c>
      <c r="K145" s="207"/>
      <c r="L145" s="208"/>
      <c r="M145" s="268"/>
      <c r="N145" s="241">
        <f t="shared" si="19"/>
        <v>-15281370.33</v>
      </c>
    </row>
    <row r="146" spans="1:14" s="260" customFormat="1" ht="15" customHeight="1">
      <c r="A146" s="365" t="s">
        <v>323</v>
      </c>
      <c r="B146" s="366"/>
      <c r="C146" s="206"/>
      <c r="D146" s="207"/>
      <c r="E146" s="206"/>
      <c r="F146" s="208"/>
      <c r="G146" s="210"/>
      <c r="H146" s="208">
        <f>H145+H144</f>
        <v>729364095.905</v>
      </c>
      <c r="I146" s="208">
        <f>I144</f>
        <v>499857907.91</v>
      </c>
      <c r="J146" s="208">
        <f>SUM(J144:J145)</f>
        <v>229506188.004</v>
      </c>
      <c r="K146" s="207"/>
      <c r="L146" s="207"/>
      <c r="M146" s="258">
        <f>SUM(M11:M145)</f>
        <v>714082725.5799999</v>
      </c>
      <c r="N146" s="241">
        <f t="shared" si="19"/>
        <v>-15281370.33400011</v>
      </c>
    </row>
    <row r="147" ht="15">
      <c r="N147" s="241">
        <f t="shared" si="19"/>
        <v>0</v>
      </c>
    </row>
    <row r="148" ht="15">
      <c r="N148" s="241">
        <f t="shared" si="19"/>
        <v>0</v>
      </c>
    </row>
    <row r="149" ht="15">
      <c r="N149" s="241">
        <f t="shared" si="19"/>
        <v>0</v>
      </c>
    </row>
  </sheetData>
  <sheetProtection/>
  <protectedRanges>
    <protectedRange sqref="B25:B31" name="Диапазон1_1"/>
    <protectedRange sqref="B12" name="Диапазон1_2"/>
    <protectedRange sqref="B46:B49" name="Диапазон1_7"/>
    <protectedRange sqref="B50:B51" name="Диапазон1_8"/>
    <protectedRange sqref="B54" name="Диапазон1_10"/>
    <protectedRange sqref="B59" name="Диапазон1_11"/>
  </protectedRanges>
  <autoFilter ref="A9:N9"/>
  <mergeCells count="54">
    <mergeCell ref="B133:L133"/>
    <mergeCell ref="A136:L136"/>
    <mergeCell ref="A111:B111"/>
    <mergeCell ref="A115:B115"/>
    <mergeCell ref="A99:B99"/>
    <mergeCell ref="A100:L100"/>
    <mergeCell ref="A116:L116"/>
    <mergeCell ref="B108:L108"/>
    <mergeCell ref="A114:B114"/>
    <mergeCell ref="A142:B142"/>
    <mergeCell ref="A143:B143"/>
    <mergeCell ref="A144:B144"/>
    <mergeCell ref="A145:B145"/>
    <mergeCell ref="A146:B146"/>
    <mergeCell ref="A127:B127"/>
    <mergeCell ref="A128:L128"/>
    <mergeCell ref="A131:B131"/>
    <mergeCell ref="A132:B132"/>
    <mergeCell ref="A135:B135"/>
    <mergeCell ref="A42:B42"/>
    <mergeCell ref="A38:L38"/>
    <mergeCell ref="A63:B63"/>
    <mergeCell ref="A69:B69"/>
    <mergeCell ref="A89:B89"/>
    <mergeCell ref="A98:B98"/>
    <mergeCell ref="A70:B70"/>
    <mergeCell ref="A77:B77"/>
    <mergeCell ref="A79:L79"/>
    <mergeCell ref="A66:B66"/>
    <mergeCell ref="A57:L57"/>
    <mergeCell ref="A60:B60"/>
    <mergeCell ref="A78:B78"/>
    <mergeCell ref="A103:B103"/>
    <mergeCell ref="A107:B107"/>
    <mergeCell ref="A106:B106"/>
    <mergeCell ref="A53:B53"/>
    <mergeCell ref="A56:B56"/>
    <mergeCell ref="K5:K8"/>
    <mergeCell ref="L5:L8"/>
    <mergeCell ref="A15:L15"/>
    <mergeCell ref="A37:B37"/>
    <mergeCell ref="A10:L10"/>
    <mergeCell ref="A13:B13"/>
    <mergeCell ref="A14:B14"/>
    <mergeCell ref="A39:B39"/>
    <mergeCell ref="A4:L4"/>
    <mergeCell ref="A5:A8"/>
    <mergeCell ref="B5:B8"/>
    <mergeCell ref="C5:C8"/>
    <mergeCell ref="D5:D8"/>
    <mergeCell ref="E5:E8"/>
    <mergeCell ref="F5:F7"/>
    <mergeCell ref="G5:G7"/>
    <mergeCell ref="I5:J6"/>
  </mergeCells>
  <printOptions horizontalCentered="1"/>
  <pageMargins left="0.15748031496062992" right="0.15748031496062992" top="0.35433070866141736" bottom="0.4330708661417323" header="0.15748031496062992" footer="0.15748031496062992"/>
  <pageSetup fitToHeight="100" horizontalDpi="600" verticalDpi="600" orientation="portrait" paperSize="9" scale="45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28125" defaultRowHeight="15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7" customWidth="1"/>
    <col min="15" max="15" width="14.7109375" style="7" customWidth="1"/>
    <col min="16" max="16" width="18.28125" style="7" customWidth="1"/>
    <col min="17" max="17" width="15.710937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28125" style="7" customWidth="1"/>
    <col min="23" max="23" width="12.28125" style="4" customWidth="1"/>
    <col min="24" max="25" width="9.28125" style="4" customWidth="1"/>
    <col min="26" max="26" width="15.28125" style="4" customWidth="1"/>
    <col min="27" max="16384" width="9.28125" style="4" customWidth="1"/>
  </cols>
  <sheetData>
    <row r="1" spans="1:2" ht="13.5">
      <c r="A1" s="7"/>
      <c r="B1" s="7"/>
    </row>
    <row r="2" spans="1:22" s="2" customFormat="1" ht="12.75">
      <c r="A2" s="475" t="s">
        <v>259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1"/>
      <c r="V2" s="1"/>
    </row>
    <row r="3" spans="1:22" s="2" customFormat="1" ht="12.75">
      <c r="A3" s="1"/>
      <c r="B3" s="1"/>
      <c r="C3" s="1"/>
      <c r="D3" s="357" t="s">
        <v>260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330" t="s">
        <v>1</v>
      </c>
      <c r="B5" s="330" t="s">
        <v>0</v>
      </c>
      <c r="C5" s="361" t="s">
        <v>2</v>
      </c>
      <c r="D5" s="361"/>
      <c r="E5" s="359" t="s">
        <v>3</v>
      </c>
      <c r="F5" s="359" t="s">
        <v>4</v>
      </c>
      <c r="G5" s="359" t="s">
        <v>5</v>
      </c>
      <c r="H5" s="430" t="s">
        <v>257</v>
      </c>
      <c r="I5" s="461" t="s">
        <v>6</v>
      </c>
      <c r="J5" s="330" t="s">
        <v>7</v>
      </c>
      <c r="K5" s="330"/>
      <c r="L5" s="461" t="s">
        <v>8</v>
      </c>
      <c r="M5" s="461" t="s">
        <v>315</v>
      </c>
      <c r="N5" s="461" t="s">
        <v>316</v>
      </c>
      <c r="O5" s="469" t="s">
        <v>258</v>
      </c>
      <c r="P5" s="470"/>
      <c r="Q5" s="470"/>
      <c r="R5" s="470"/>
      <c r="S5" s="471"/>
      <c r="T5" s="329" t="s">
        <v>9</v>
      </c>
      <c r="U5" s="329" t="s">
        <v>10</v>
      </c>
      <c r="V5" s="86"/>
    </row>
    <row r="6" spans="1:22" s="2" customFormat="1" ht="15" customHeight="1">
      <c r="A6" s="330"/>
      <c r="B6" s="330"/>
      <c r="C6" s="329" t="s">
        <v>11</v>
      </c>
      <c r="D6" s="329" t="s">
        <v>12</v>
      </c>
      <c r="E6" s="359"/>
      <c r="F6" s="359"/>
      <c r="G6" s="359"/>
      <c r="H6" s="431"/>
      <c r="I6" s="462"/>
      <c r="J6" s="461" t="s">
        <v>13</v>
      </c>
      <c r="K6" s="461" t="s">
        <v>14</v>
      </c>
      <c r="L6" s="462"/>
      <c r="M6" s="462"/>
      <c r="N6" s="462"/>
      <c r="O6" s="472"/>
      <c r="P6" s="473"/>
      <c r="Q6" s="473"/>
      <c r="R6" s="473"/>
      <c r="S6" s="474"/>
      <c r="T6" s="329"/>
      <c r="U6" s="329"/>
      <c r="V6" s="86"/>
    </row>
    <row r="7" spans="1:22" s="2" customFormat="1" ht="24.75" customHeight="1">
      <c r="A7" s="330"/>
      <c r="B7" s="330"/>
      <c r="C7" s="329"/>
      <c r="D7" s="329"/>
      <c r="E7" s="359"/>
      <c r="F7" s="359"/>
      <c r="G7" s="359"/>
      <c r="H7" s="431"/>
      <c r="I7" s="462"/>
      <c r="J7" s="462"/>
      <c r="K7" s="462"/>
      <c r="L7" s="462"/>
      <c r="M7" s="462"/>
      <c r="N7" s="462"/>
      <c r="O7" s="464">
        <v>2018</v>
      </c>
      <c r="P7" s="465"/>
      <c r="Q7" s="459">
        <v>2019</v>
      </c>
      <c r="R7" s="459">
        <v>2020</v>
      </c>
      <c r="S7" s="459">
        <v>2021</v>
      </c>
      <c r="T7" s="329"/>
      <c r="U7" s="329"/>
      <c r="V7" s="86"/>
    </row>
    <row r="8" spans="1:22" s="2" customFormat="1" ht="39.75" customHeight="1">
      <c r="A8" s="330"/>
      <c r="B8" s="330"/>
      <c r="C8" s="329"/>
      <c r="D8" s="329"/>
      <c r="E8" s="359"/>
      <c r="F8" s="359"/>
      <c r="G8" s="359"/>
      <c r="H8" s="431"/>
      <c r="I8" s="463"/>
      <c r="J8" s="463"/>
      <c r="K8" s="463"/>
      <c r="L8" s="463"/>
      <c r="M8" s="463"/>
      <c r="N8" s="468"/>
      <c r="O8" s="466"/>
      <c r="P8" s="467"/>
      <c r="Q8" s="460"/>
      <c r="R8" s="460"/>
      <c r="S8" s="460"/>
      <c r="T8" s="329"/>
      <c r="U8" s="329"/>
      <c r="V8" s="86"/>
    </row>
    <row r="9" spans="1:22" s="2" customFormat="1" ht="46.5" customHeight="1">
      <c r="A9" s="330"/>
      <c r="B9" s="330"/>
      <c r="C9" s="329"/>
      <c r="D9" s="329"/>
      <c r="E9" s="359"/>
      <c r="F9" s="359"/>
      <c r="G9" s="359"/>
      <c r="H9" s="432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329"/>
      <c r="U9" s="329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335" t="s">
        <v>24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88"/>
    </row>
    <row r="12" spans="1:22" ht="15" customHeight="1">
      <c r="A12" s="345" t="s">
        <v>45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7"/>
      <c r="V12" s="89"/>
    </row>
    <row r="13" spans="1:23" s="20" customFormat="1" ht="13.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426" t="s">
        <v>23</v>
      </c>
      <c r="B14" s="427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3.5">
      <c r="A15" s="345" t="s">
        <v>47</v>
      </c>
      <c r="B15" s="346"/>
      <c r="C15" s="346"/>
      <c r="D15" s="346"/>
      <c r="E15" s="347"/>
      <c r="F15" s="332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4"/>
      <c r="V15" s="91"/>
    </row>
    <row r="16" spans="1:23" s="20" customFormat="1" ht="13.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3.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3.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426" t="s">
        <v>23</v>
      </c>
      <c r="B19" s="427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456" t="s">
        <v>262</v>
      </c>
      <c r="B20" s="457"/>
      <c r="C20" s="457"/>
      <c r="D20" s="457"/>
      <c r="E20" s="458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426" t="s">
        <v>23</v>
      </c>
      <c r="B23" s="427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428" t="s">
        <v>25</v>
      </c>
      <c r="B24" s="429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338" t="s">
        <v>256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40"/>
      <c r="V25" s="88"/>
    </row>
    <row r="26" spans="1:22" ht="13.5">
      <c r="A26" s="345" t="s">
        <v>26</v>
      </c>
      <c r="B26" s="346"/>
      <c r="C26" s="346"/>
      <c r="D26" s="346"/>
      <c r="E26" s="347"/>
      <c r="F26" s="332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4"/>
      <c r="V26" s="91"/>
    </row>
    <row r="27" spans="1:22" ht="13.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3.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3.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3.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3.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3.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3.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3.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3.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3.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3.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3.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3.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3.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3.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3.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3.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3.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3.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3.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3.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3.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3.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3.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3.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3.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3.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3.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426" t="s">
        <v>23</v>
      </c>
      <c r="B55" s="427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441" t="s">
        <v>324</v>
      </c>
      <c r="W59" s="442"/>
    </row>
    <row r="60" spans="1:22" ht="15" customHeight="1">
      <c r="A60" s="452" t="s">
        <v>23</v>
      </c>
      <c r="B60" s="452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428" t="s">
        <v>27</v>
      </c>
      <c r="B61" s="429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453" t="s">
        <v>273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  <c r="P62" s="454"/>
      <c r="Q62" s="454"/>
      <c r="R62" s="454"/>
      <c r="S62" s="454"/>
      <c r="T62" s="454"/>
      <c r="U62" s="455"/>
      <c r="V62" s="92"/>
    </row>
    <row r="63" spans="1:22" s="15" customFormat="1" ht="15" customHeight="1">
      <c r="A63" s="456" t="s">
        <v>274</v>
      </c>
      <c r="B63" s="457"/>
      <c r="C63" s="457"/>
      <c r="D63" s="457"/>
      <c r="E63" s="458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452" t="s">
        <v>23</v>
      </c>
      <c r="B70" s="452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440" t="s">
        <v>281</v>
      </c>
      <c r="B71" s="440"/>
      <c r="C71" s="440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338" t="s">
        <v>28</v>
      </c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40"/>
      <c r="V72" s="88"/>
    </row>
    <row r="73" spans="1:22" ht="13.5">
      <c r="A73" s="345" t="s">
        <v>29</v>
      </c>
      <c r="B73" s="346"/>
      <c r="C73" s="346"/>
      <c r="D73" s="346"/>
      <c r="E73" s="347"/>
      <c r="F73" s="332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4"/>
      <c r="V73" s="91"/>
    </row>
    <row r="74" spans="1:22" s="20" customFormat="1" ht="13.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3.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3.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3.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3.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3.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426" t="s">
        <v>23</v>
      </c>
      <c r="B80" s="427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428" t="s">
        <v>30</v>
      </c>
      <c r="B81" s="429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338" t="s">
        <v>31</v>
      </c>
      <c r="B82" s="339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40"/>
      <c r="V82" s="88"/>
    </row>
    <row r="83" spans="1:22" ht="13.5">
      <c r="A83" s="345" t="s">
        <v>32</v>
      </c>
      <c r="B83" s="346"/>
      <c r="C83" s="346"/>
      <c r="D83" s="346"/>
      <c r="E83" s="347"/>
      <c r="F83" s="332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4"/>
      <c r="V83" s="91"/>
    </row>
    <row r="84" spans="1:22" s="20" customFormat="1" ht="13.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3.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3.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426" t="s">
        <v>23</v>
      </c>
      <c r="B87" s="427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3.5">
      <c r="A88" s="345" t="s">
        <v>33</v>
      </c>
      <c r="B88" s="346"/>
      <c r="C88" s="346"/>
      <c r="D88" s="346"/>
      <c r="E88" s="347"/>
      <c r="F88" s="332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4"/>
      <c r="V88" s="91"/>
    </row>
    <row r="89" spans="1:22" ht="13.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3.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3.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3.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3.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3.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426" t="s">
        <v>23</v>
      </c>
      <c r="B95" s="427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3.5">
      <c r="A96" s="345" t="s">
        <v>44</v>
      </c>
      <c r="B96" s="346"/>
      <c r="C96" s="346"/>
      <c r="D96" s="346"/>
      <c r="E96" s="347"/>
      <c r="F96" s="332"/>
      <c r="G96" s="333"/>
      <c r="H96" s="333"/>
      <c r="I96" s="333"/>
      <c r="J96" s="333"/>
      <c r="K96" s="333"/>
      <c r="L96" s="333"/>
      <c r="M96" s="333"/>
      <c r="N96" s="333"/>
      <c r="O96" s="333"/>
      <c r="P96" s="333"/>
      <c r="Q96" s="333"/>
      <c r="R96" s="333"/>
      <c r="S96" s="333"/>
      <c r="T96" s="333"/>
      <c r="U96" s="334"/>
      <c r="V96" s="91"/>
    </row>
    <row r="97" spans="1:22" ht="13.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3.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3.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3.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3.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3.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3.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426" t="s">
        <v>23</v>
      </c>
      <c r="B104" s="427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3.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3.5">
      <c r="A106" s="453" t="s">
        <v>294</v>
      </c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5"/>
      <c r="V106" s="92"/>
    </row>
    <row r="107" spans="1:22" s="15" customFormat="1" ht="13.5">
      <c r="A107" s="447" t="s">
        <v>295</v>
      </c>
      <c r="B107" s="448"/>
      <c r="C107" s="448"/>
      <c r="D107" s="448"/>
      <c r="E107" s="44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450" t="s">
        <v>321</v>
      </c>
      <c r="W108" s="451"/>
      <c r="X108" s="451"/>
    </row>
    <row r="109" spans="1:22" s="15" customFormat="1" ht="13.5">
      <c r="A109" s="452" t="s">
        <v>23</v>
      </c>
      <c r="B109" s="452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3.5">
      <c r="A110" s="440" t="s">
        <v>297</v>
      </c>
      <c r="B110" s="440"/>
      <c r="C110" s="440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338" t="s">
        <v>35</v>
      </c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40"/>
      <c r="V111" s="88"/>
    </row>
    <row r="112" spans="1:22" ht="13.5">
      <c r="A112" s="345" t="s">
        <v>36</v>
      </c>
      <c r="B112" s="346"/>
      <c r="C112" s="346"/>
      <c r="D112" s="346"/>
      <c r="E112" s="347"/>
      <c r="F112" s="332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3"/>
      <c r="R112" s="333"/>
      <c r="S112" s="333"/>
      <c r="T112" s="333"/>
      <c r="U112" s="334"/>
      <c r="V112" s="91"/>
    </row>
    <row r="113" spans="1:22" s="20" customFormat="1" ht="13.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3.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3.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3.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3.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3.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3.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426" t="s">
        <v>23</v>
      </c>
      <c r="B120" s="427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428" t="s">
        <v>37</v>
      </c>
      <c r="B121" s="429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338" t="s">
        <v>38</v>
      </c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40"/>
      <c r="V122" s="88"/>
    </row>
    <row r="123" spans="1:22" ht="13.5">
      <c r="A123" s="345" t="s">
        <v>39</v>
      </c>
      <c r="B123" s="346"/>
      <c r="C123" s="346"/>
      <c r="D123" s="346"/>
      <c r="E123" s="347"/>
      <c r="F123" s="332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3"/>
      <c r="U123" s="334"/>
      <c r="V123" s="91"/>
    </row>
    <row r="124" spans="1:22" s="20" customFormat="1" ht="13.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3.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3.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426" t="s">
        <v>23</v>
      </c>
      <c r="B127" s="427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428" t="s">
        <v>40</v>
      </c>
      <c r="B128" s="429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444" t="s">
        <v>299</v>
      </c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  <c r="T129" s="445"/>
      <c r="U129" s="446"/>
      <c r="V129" s="97"/>
    </row>
    <row r="130" spans="1:22" s="15" customFormat="1" ht="15" customHeight="1">
      <c r="A130" s="434" t="s">
        <v>300</v>
      </c>
      <c r="B130" s="435"/>
      <c r="C130" s="436"/>
      <c r="D130" s="436"/>
      <c r="E130" s="437"/>
      <c r="F130" s="438"/>
      <c r="G130" s="438"/>
      <c r="H130" s="438"/>
      <c r="I130" s="438"/>
      <c r="J130" s="438"/>
      <c r="K130" s="438"/>
      <c r="L130" s="438"/>
      <c r="M130" s="439"/>
      <c r="N130" s="439"/>
      <c r="O130" s="439"/>
      <c r="P130" s="439"/>
      <c r="Q130" s="439"/>
      <c r="R130" s="439"/>
      <c r="S130" s="439"/>
      <c r="T130" s="439"/>
      <c r="U130" s="439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441" t="s">
        <v>321</v>
      </c>
      <c r="W131" s="442"/>
    </row>
    <row r="132" spans="1:22" s="15" customFormat="1" ht="15" customHeight="1">
      <c r="A132" s="443" t="s">
        <v>23</v>
      </c>
      <c r="B132" s="443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433" t="s">
        <v>302</v>
      </c>
      <c r="B133" s="433"/>
      <c r="C133" s="433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338" t="s">
        <v>181</v>
      </c>
      <c r="B134" s="339"/>
      <c r="C134" s="339"/>
      <c r="D134" s="339"/>
      <c r="E134" s="339"/>
      <c r="F134" s="3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40"/>
      <c r="V134" s="88"/>
    </row>
    <row r="135" spans="1:22" s="20" customFormat="1" ht="13.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3.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3.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3.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3.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3.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3.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3.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3.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3.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3.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3.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3.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3.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3.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3.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3.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3.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3.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3.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3.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3.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3.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3.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3.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3.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3.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3.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3.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3.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3.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3.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3.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3.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3.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3.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3.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3.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3.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3.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3.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3.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3.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3.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3.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3.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3.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3.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3.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3.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3.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3.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3.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3.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3.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3.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3.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3.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3.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3.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3.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3.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3.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3.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3.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3.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3.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3.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3.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3.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3.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3.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3.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3.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3.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3.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3.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3.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3.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3.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3.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3.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3.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3.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3.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3.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3.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27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3.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3.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3.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3.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3.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428" t="s">
        <v>23</v>
      </c>
      <c r="B231" s="429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338" t="s">
        <v>180</v>
      </c>
      <c r="B232" s="339"/>
      <c r="C232" s="339"/>
      <c r="D232" s="339"/>
      <c r="E232" s="339"/>
      <c r="F232" s="339"/>
      <c r="G232" s="339"/>
      <c r="H232" s="339"/>
      <c r="I232" s="339"/>
      <c r="J232" s="339"/>
      <c r="K232" s="339"/>
      <c r="L232" s="339"/>
      <c r="M232" s="339"/>
      <c r="N232" s="339"/>
      <c r="O232" s="339"/>
      <c r="P232" s="339"/>
      <c r="Q232" s="339"/>
      <c r="R232" s="339"/>
      <c r="S232" s="339"/>
      <c r="T232" s="339"/>
      <c r="U232" s="340"/>
      <c r="V232" s="88"/>
    </row>
    <row r="233" spans="1:22" ht="13.5">
      <c r="A233" s="345" t="s">
        <v>41</v>
      </c>
      <c r="B233" s="346"/>
      <c r="C233" s="346"/>
      <c r="D233" s="346"/>
      <c r="E233" s="347"/>
      <c r="F233" s="332"/>
      <c r="G233" s="333"/>
      <c r="H233" s="333"/>
      <c r="I233" s="333"/>
      <c r="J233" s="333"/>
      <c r="K233" s="333"/>
      <c r="L233" s="333"/>
      <c r="M233" s="333"/>
      <c r="N233" s="333"/>
      <c r="O233" s="333"/>
      <c r="P233" s="333"/>
      <c r="Q233" s="333"/>
      <c r="R233" s="333"/>
      <c r="S233" s="333"/>
      <c r="T233" s="333"/>
      <c r="U233" s="334"/>
      <c r="V233" s="91"/>
    </row>
    <row r="234" spans="1:22" ht="13.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3.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426" t="s">
        <v>23</v>
      </c>
      <c r="B236" s="427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428" t="s">
        <v>42</v>
      </c>
      <c r="B237" s="429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3.5">
      <c r="A238" s="345" t="s">
        <v>43</v>
      </c>
      <c r="B238" s="347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3.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3.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3.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3.5">
      <c r="A242" s="101" t="e">
        <f>A235-'раздел 1 2020'!#REF!-'2017'!A78</f>
        <v>#REF!</v>
      </c>
      <c r="B242" s="101"/>
      <c r="C242" s="101"/>
      <c r="D242" s="101"/>
      <c r="E242" s="101"/>
      <c r="F242" s="101"/>
      <c r="G242" s="101"/>
      <c r="H242" s="101">
        <f>H238-'раздел 1 2020'!H155-'2017'!H81</f>
        <v>37</v>
      </c>
      <c r="I242" s="101"/>
      <c r="J242" s="101"/>
      <c r="K242" s="101"/>
      <c r="L242" s="101"/>
      <c r="M242" s="101">
        <f>M238-'раздел 1 2020'!N155-'2017'!M81</f>
        <v>160462667.7479996</v>
      </c>
      <c r="N242" s="101"/>
      <c r="O242" s="101"/>
      <c r="P242" s="101"/>
      <c r="Q242" s="101"/>
      <c r="R242" s="101" t="e">
        <f>R238-'раздел 1 2020'!#REF!-'2017'!R81</f>
        <v>#REF!</v>
      </c>
      <c r="S242" s="101" t="e">
        <f>S238-'раздел 1 2020'!#REF!-'2017'!S81</f>
        <v>#REF!</v>
      </c>
    </row>
  </sheetData>
  <sheetProtection/>
  <mergeCells count="92">
    <mergeCell ref="L5:L8"/>
    <mergeCell ref="M5:M8"/>
    <mergeCell ref="N5:N8"/>
    <mergeCell ref="O5:S6"/>
    <mergeCell ref="A2:T2"/>
    <mergeCell ref="D3:S3"/>
    <mergeCell ref="A5:A9"/>
    <mergeCell ref="B5:B9"/>
    <mergeCell ref="C5:D5"/>
    <mergeCell ref="E5:E9"/>
    <mergeCell ref="F5:F9"/>
    <mergeCell ref="G5:G9"/>
    <mergeCell ref="I5:I8"/>
    <mergeCell ref="Q7:Q8"/>
    <mergeCell ref="U5:U9"/>
    <mergeCell ref="C6:C9"/>
    <mergeCell ref="D6:D9"/>
    <mergeCell ref="J6:J8"/>
    <mergeCell ref="K6:K8"/>
    <mergeCell ref="O7:P8"/>
    <mergeCell ref="T5:T9"/>
    <mergeCell ref="R7:R8"/>
    <mergeCell ref="S7:S8"/>
    <mergeCell ref="J5:K5"/>
    <mergeCell ref="A20:E20"/>
    <mergeCell ref="F20:U20"/>
    <mergeCell ref="A11:U11"/>
    <mergeCell ref="A12:U12"/>
    <mergeCell ref="A14:B14"/>
    <mergeCell ref="A15:E15"/>
    <mergeCell ref="F15:U15"/>
    <mergeCell ref="A19:B19"/>
    <mergeCell ref="A23:B23"/>
    <mergeCell ref="A24:B24"/>
    <mergeCell ref="A25:U25"/>
    <mergeCell ref="A26:E26"/>
    <mergeCell ref="F26:U26"/>
    <mergeCell ref="A55:B55"/>
    <mergeCell ref="A80:B80"/>
    <mergeCell ref="A81:B81"/>
    <mergeCell ref="V59:W59"/>
    <mergeCell ref="A60:B60"/>
    <mergeCell ref="A61:B61"/>
    <mergeCell ref="A62:U62"/>
    <mergeCell ref="A63:E63"/>
    <mergeCell ref="F63:U63"/>
    <mergeCell ref="A104:B104"/>
    <mergeCell ref="A106:U106"/>
    <mergeCell ref="A87:B87"/>
    <mergeCell ref="A88:E88"/>
    <mergeCell ref="F88:U88"/>
    <mergeCell ref="A70:B70"/>
    <mergeCell ref="A71:C71"/>
    <mergeCell ref="A72:U72"/>
    <mergeCell ref="A73:E73"/>
    <mergeCell ref="F73:U73"/>
    <mergeCell ref="A107:E107"/>
    <mergeCell ref="F107:U107"/>
    <mergeCell ref="V108:X108"/>
    <mergeCell ref="A109:B109"/>
    <mergeCell ref="A82:U82"/>
    <mergeCell ref="A83:E83"/>
    <mergeCell ref="F83:U83"/>
    <mergeCell ref="A95:B95"/>
    <mergeCell ref="A96:E96"/>
    <mergeCell ref="F96:U96"/>
    <mergeCell ref="V131:W131"/>
    <mergeCell ref="A132:B13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30:E130"/>
    <mergeCell ref="F130:U130"/>
    <mergeCell ref="A110:C110"/>
    <mergeCell ref="A111:U111"/>
    <mergeCell ref="A112:E112"/>
    <mergeCell ref="F112:U112"/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28125" defaultRowHeight="18" customHeight="1"/>
  <cols>
    <col min="1" max="1" width="6.710937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28125" style="7" customWidth="1"/>
    <col min="12" max="12" width="12.00390625" style="7" customWidth="1"/>
    <col min="13" max="14" width="17.28125" style="102" customWidth="1"/>
    <col min="15" max="15" width="14.7109375" style="102" customWidth="1"/>
    <col min="16" max="16" width="18.28125" style="102" customWidth="1"/>
    <col min="17" max="17" width="15.7109375" style="102" customWidth="1"/>
    <col min="18" max="18" width="15.421875" style="102" customWidth="1"/>
    <col min="19" max="19" width="17.00390625" style="102" customWidth="1"/>
    <col min="20" max="20" width="14.28125" style="102" customWidth="1"/>
    <col min="21" max="22" width="15.28125" style="7" customWidth="1"/>
    <col min="23" max="23" width="14.28125" style="7" customWidth="1"/>
    <col min="24" max="24" width="12.28125" style="4" customWidth="1"/>
    <col min="25" max="25" width="9.28125" style="4" customWidth="1"/>
    <col min="26" max="26" width="12.00390625" style="4" customWidth="1"/>
    <col min="27" max="27" width="19.00390625" style="4" customWidth="1"/>
    <col min="28" max="28" width="13.7109375" style="4" customWidth="1"/>
    <col min="29" max="29" width="23.57421875" style="4" customWidth="1"/>
    <col min="30" max="16384" width="9.28125" style="4" customWidth="1"/>
  </cols>
  <sheetData>
    <row r="1" spans="1:2" ht="18" customHeight="1">
      <c r="A1" s="7"/>
      <c r="B1" s="7"/>
    </row>
    <row r="2" spans="1:23" s="2" customFormat="1" ht="18" customHeight="1">
      <c r="A2" s="475" t="s">
        <v>259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1"/>
      <c r="V2" s="1"/>
      <c r="W2" s="1"/>
    </row>
    <row r="3" spans="1:23" s="2" customFormat="1" ht="18" customHeight="1">
      <c r="A3" s="1"/>
      <c r="B3" s="1"/>
      <c r="C3" s="1"/>
      <c r="D3" s="357" t="s">
        <v>260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103"/>
      <c r="U3" s="1"/>
      <c r="V3" s="1"/>
      <c r="W3" s="1"/>
    </row>
    <row r="4" spans="1:23" s="2" customFormat="1" ht="18" customHeight="1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104"/>
      <c r="N4" s="104"/>
      <c r="O4" s="104"/>
      <c r="P4" s="104"/>
      <c r="Q4" s="104"/>
      <c r="R4" s="104"/>
      <c r="S4" s="104"/>
      <c r="T4" s="103"/>
      <c r="U4" s="1"/>
      <c r="V4" s="1"/>
      <c r="W4" s="1"/>
    </row>
    <row r="5" spans="1:23" s="2" customFormat="1" ht="18" customHeight="1">
      <c r="A5" s="330" t="s">
        <v>1</v>
      </c>
      <c r="B5" s="330" t="s">
        <v>0</v>
      </c>
      <c r="C5" s="361" t="s">
        <v>2</v>
      </c>
      <c r="D5" s="361"/>
      <c r="E5" s="359" t="s">
        <v>3</v>
      </c>
      <c r="F5" s="359" t="s">
        <v>4</v>
      </c>
      <c r="G5" s="359" t="s">
        <v>5</v>
      </c>
      <c r="H5" s="430" t="s">
        <v>257</v>
      </c>
      <c r="I5" s="461" t="s">
        <v>6</v>
      </c>
      <c r="J5" s="330" t="s">
        <v>7</v>
      </c>
      <c r="K5" s="330"/>
      <c r="L5" s="461" t="s">
        <v>8</v>
      </c>
      <c r="M5" s="487" t="s">
        <v>315</v>
      </c>
      <c r="N5" s="487" t="s">
        <v>316</v>
      </c>
      <c r="O5" s="480" t="s">
        <v>258</v>
      </c>
      <c r="P5" s="481"/>
      <c r="Q5" s="481"/>
      <c r="R5" s="481"/>
      <c r="S5" s="482"/>
      <c r="T5" s="486" t="s">
        <v>9</v>
      </c>
      <c r="U5" s="329" t="s">
        <v>10</v>
      </c>
      <c r="V5" s="86"/>
      <c r="W5" s="86"/>
    </row>
    <row r="6" spans="1:23" s="2" customFormat="1" ht="18" customHeight="1">
      <c r="A6" s="330"/>
      <c r="B6" s="330"/>
      <c r="C6" s="329" t="s">
        <v>11</v>
      </c>
      <c r="D6" s="329" t="s">
        <v>12</v>
      </c>
      <c r="E6" s="359"/>
      <c r="F6" s="359"/>
      <c r="G6" s="359"/>
      <c r="H6" s="431"/>
      <c r="I6" s="462"/>
      <c r="J6" s="461" t="s">
        <v>13</v>
      </c>
      <c r="K6" s="461" t="s">
        <v>14</v>
      </c>
      <c r="L6" s="462"/>
      <c r="M6" s="488"/>
      <c r="N6" s="488"/>
      <c r="O6" s="483"/>
      <c r="P6" s="484"/>
      <c r="Q6" s="484"/>
      <c r="R6" s="484"/>
      <c r="S6" s="485"/>
      <c r="T6" s="486"/>
      <c r="U6" s="329"/>
      <c r="V6" s="86"/>
      <c r="W6" s="86"/>
    </row>
    <row r="7" spans="1:23" s="2" customFormat="1" ht="18" customHeight="1">
      <c r="A7" s="330"/>
      <c r="B7" s="330"/>
      <c r="C7" s="329"/>
      <c r="D7" s="329"/>
      <c r="E7" s="359"/>
      <c r="F7" s="359"/>
      <c r="G7" s="359"/>
      <c r="H7" s="431"/>
      <c r="I7" s="462"/>
      <c r="J7" s="462"/>
      <c r="K7" s="462"/>
      <c r="L7" s="462"/>
      <c r="M7" s="488"/>
      <c r="N7" s="488"/>
      <c r="O7" s="476">
        <v>2018</v>
      </c>
      <c r="P7" s="477"/>
      <c r="Q7" s="491">
        <v>2019</v>
      </c>
      <c r="R7" s="491">
        <v>2020</v>
      </c>
      <c r="S7" s="491">
        <v>2021</v>
      </c>
      <c r="T7" s="486"/>
      <c r="U7" s="329"/>
      <c r="V7" s="86"/>
      <c r="W7" s="86"/>
    </row>
    <row r="8" spans="1:23" s="2" customFormat="1" ht="18" customHeight="1">
      <c r="A8" s="330"/>
      <c r="B8" s="330"/>
      <c r="C8" s="329"/>
      <c r="D8" s="329"/>
      <c r="E8" s="359"/>
      <c r="F8" s="359"/>
      <c r="G8" s="359"/>
      <c r="H8" s="431"/>
      <c r="I8" s="463"/>
      <c r="J8" s="463"/>
      <c r="K8" s="463"/>
      <c r="L8" s="463"/>
      <c r="M8" s="489"/>
      <c r="N8" s="490"/>
      <c r="O8" s="478"/>
      <c r="P8" s="479"/>
      <c r="Q8" s="492"/>
      <c r="R8" s="492"/>
      <c r="S8" s="492"/>
      <c r="T8" s="486"/>
      <c r="U8" s="329"/>
      <c r="V8" s="86"/>
      <c r="W8" s="86"/>
    </row>
    <row r="9" spans="1:23" s="2" customFormat="1" ht="42" customHeight="1">
      <c r="A9" s="330"/>
      <c r="B9" s="330"/>
      <c r="C9" s="329"/>
      <c r="D9" s="329"/>
      <c r="E9" s="359"/>
      <c r="F9" s="359"/>
      <c r="G9" s="359"/>
      <c r="H9" s="432"/>
      <c r="I9" s="75" t="s">
        <v>15</v>
      </c>
      <c r="J9" s="75" t="s">
        <v>15</v>
      </c>
      <c r="K9" s="75" t="s">
        <v>15</v>
      </c>
      <c r="L9" s="75" t="s">
        <v>16</v>
      </c>
      <c r="M9" s="105" t="s">
        <v>17</v>
      </c>
      <c r="N9" s="105" t="s">
        <v>17</v>
      </c>
      <c r="O9" s="106" t="s">
        <v>325</v>
      </c>
      <c r="P9" s="105" t="s">
        <v>317</v>
      </c>
      <c r="Q9" s="105" t="s">
        <v>17</v>
      </c>
      <c r="R9" s="105" t="s">
        <v>17</v>
      </c>
      <c r="S9" s="105" t="s">
        <v>17</v>
      </c>
      <c r="T9" s="486"/>
      <c r="U9" s="329"/>
      <c r="V9" s="86"/>
      <c r="W9" s="86"/>
    </row>
    <row r="10" spans="1:23" s="3" customFormat="1" ht="30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107">
        <v>13</v>
      </c>
      <c r="N10" s="107">
        <v>14</v>
      </c>
      <c r="O10" s="107">
        <v>15</v>
      </c>
      <c r="P10" s="107">
        <v>16</v>
      </c>
      <c r="Q10" s="107">
        <v>17</v>
      </c>
      <c r="R10" s="107">
        <v>18</v>
      </c>
      <c r="S10" s="107">
        <v>19</v>
      </c>
      <c r="T10" s="107">
        <v>20</v>
      </c>
      <c r="U10" s="76">
        <v>21</v>
      </c>
      <c r="V10" s="87"/>
      <c r="W10" s="87"/>
    </row>
    <row r="11" spans="1:23" s="3" customFormat="1" ht="18" customHeight="1">
      <c r="A11" s="335" t="s">
        <v>24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88"/>
      <c r="W11" s="88"/>
    </row>
    <row r="12" spans="1:23" ht="18" customHeight="1">
      <c r="A12" s="345" t="s">
        <v>45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7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08">
        <v>14714735.77</v>
      </c>
      <c r="N13" s="108">
        <v>475683.11</v>
      </c>
      <c r="O13" s="108">
        <f>M13*30/100</f>
        <v>4414420.731</v>
      </c>
      <c r="P13" s="108">
        <f>N13</f>
        <v>475683.11</v>
      </c>
      <c r="Q13" s="108">
        <f>(M13-O13)/3</f>
        <v>3433438.3463333338</v>
      </c>
      <c r="R13" s="108">
        <f>Q13</f>
        <v>3433438.3463333338</v>
      </c>
      <c r="S13" s="108">
        <f>R13</f>
        <v>3433438.3463333338</v>
      </c>
      <c r="T13" s="108">
        <v>43829</v>
      </c>
      <c r="U13" s="24" t="s">
        <v>184</v>
      </c>
      <c r="V13" s="116">
        <f>M13+N13-O13-P13-Q13-R13-S13</f>
        <v>0</v>
      </c>
      <c r="W13" s="90"/>
      <c r="X13" s="84" t="s">
        <v>318</v>
      </c>
    </row>
    <row r="14" spans="1:23" ht="18" customHeight="1">
      <c r="A14" s="426" t="s">
        <v>23</v>
      </c>
      <c r="B14" s="427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9">
        <f t="shared" si="0"/>
        <v>14714735.77</v>
      </c>
      <c r="N14" s="109">
        <f t="shared" si="0"/>
        <v>475683.11</v>
      </c>
      <c r="O14" s="109">
        <f t="shared" si="0"/>
        <v>4414420.731</v>
      </c>
      <c r="P14" s="109">
        <f t="shared" si="0"/>
        <v>475683.11</v>
      </c>
      <c r="Q14" s="109">
        <f t="shared" si="0"/>
        <v>3433438.3463333338</v>
      </c>
      <c r="R14" s="109">
        <f t="shared" si="0"/>
        <v>3433438.3463333338</v>
      </c>
      <c r="S14" s="109">
        <f t="shared" si="0"/>
        <v>3433438.3463333338</v>
      </c>
      <c r="T14" s="109" t="s">
        <v>261</v>
      </c>
      <c r="U14" s="6" t="s">
        <v>261</v>
      </c>
      <c r="V14" s="116">
        <f aca="true" t="shared" si="1" ref="V14:V77">M14+N14-O14-P14-Q14-R14-S14</f>
        <v>0</v>
      </c>
      <c r="W14" s="91"/>
    </row>
    <row r="15" spans="1:23" ht="18" customHeight="1">
      <c r="A15" s="345" t="s">
        <v>47</v>
      </c>
      <c r="B15" s="346"/>
      <c r="C15" s="346"/>
      <c r="D15" s="346"/>
      <c r="E15" s="347"/>
      <c r="F15" s="332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4"/>
      <c r="V15" s="11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08">
        <v>10374481.16</v>
      </c>
      <c r="N16" s="108">
        <v>297600.8</v>
      </c>
      <c r="O16" s="108">
        <f>M16*30/100</f>
        <v>3112344.348</v>
      </c>
      <c r="P16" s="108">
        <f>N16</f>
        <v>297600.8</v>
      </c>
      <c r="Q16" s="108">
        <f>(M16-O16)/3</f>
        <v>2420712.270666667</v>
      </c>
      <c r="R16" s="108">
        <f aca="true" t="shared" si="2" ref="R16:S19">Q16</f>
        <v>2420712.270666667</v>
      </c>
      <c r="S16" s="108">
        <f t="shared" si="2"/>
        <v>2420712.270666667</v>
      </c>
      <c r="T16" s="108">
        <v>43829</v>
      </c>
      <c r="U16" s="24" t="s">
        <v>184</v>
      </c>
      <c r="V16" s="11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08">
        <f>2158425.19</f>
        <v>2158425.19</v>
      </c>
      <c r="N17" s="108">
        <v>67954.73</v>
      </c>
      <c r="O17" s="108">
        <f>M17*30/100</f>
        <v>647527.5569999999</v>
      </c>
      <c r="P17" s="108">
        <f>N17</f>
        <v>67954.73</v>
      </c>
      <c r="Q17" s="108">
        <f>(M17-O17)/3</f>
        <v>503632.5443333333</v>
      </c>
      <c r="R17" s="108">
        <f t="shared" si="2"/>
        <v>503632.5443333333</v>
      </c>
      <c r="S17" s="108">
        <f t="shared" si="2"/>
        <v>503632.5443333333</v>
      </c>
      <c r="T17" s="108">
        <v>43829</v>
      </c>
      <c r="U17" s="24" t="s">
        <v>184</v>
      </c>
      <c r="V17" s="11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08">
        <f>2173380.24</f>
        <v>2173380.24</v>
      </c>
      <c r="N18" s="108">
        <v>67954.73</v>
      </c>
      <c r="O18" s="108">
        <f>M18*30/100</f>
        <v>652014.072</v>
      </c>
      <c r="P18" s="108">
        <f>N18</f>
        <v>67954.73</v>
      </c>
      <c r="Q18" s="108">
        <f>(M18-O18)/3</f>
        <v>507122.05600000004</v>
      </c>
      <c r="R18" s="108">
        <f t="shared" si="2"/>
        <v>507122.05600000004</v>
      </c>
      <c r="S18" s="108">
        <f t="shared" si="2"/>
        <v>507122.05600000004</v>
      </c>
      <c r="T18" s="108">
        <v>43829</v>
      </c>
      <c r="U18" s="24" t="s">
        <v>184</v>
      </c>
      <c r="V18" s="116">
        <f t="shared" si="1"/>
        <v>0</v>
      </c>
      <c r="W18" s="90"/>
      <c r="X18" s="84" t="s">
        <v>318</v>
      </c>
    </row>
    <row r="19" spans="1:23" ht="18" customHeight="1">
      <c r="A19" s="426" t="s">
        <v>23</v>
      </c>
      <c r="B19" s="427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9">
        <f>SUM(M16:M18)</f>
        <v>14706286.59</v>
      </c>
      <c r="N19" s="109">
        <f>SUM(N16:N18)</f>
        <v>433510.25999999995</v>
      </c>
      <c r="O19" s="109">
        <f>M19*30/100</f>
        <v>4411885.977</v>
      </c>
      <c r="P19" s="109">
        <f>SUM(P16:P18)</f>
        <v>433510.25999999995</v>
      </c>
      <c r="Q19" s="109">
        <f>(M19-O19)/3</f>
        <v>3431466.871</v>
      </c>
      <c r="R19" s="109">
        <f t="shared" si="2"/>
        <v>3431466.871</v>
      </c>
      <c r="S19" s="109">
        <f t="shared" si="2"/>
        <v>3431466.871</v>
      </c>
      <c r="T19" s="109">
        <v>43829</v>
      </c>
      <c r="U19" s="6" t="s">
        <v>261</v>
      </c>
      <c r="V19" s="116">
        <f t="shared" si="1"/>
        <v>0</v>
      </c>
      <c r="W19" s="91"/>
    </row>
    <row r="20" spans="1:23" ht="18" customHeight="1">
      <c r="A20" s="456" t="s">
        <v>262</v>
      </c>
      <c r="B20" s="457"/>
      <c r="C20" s="457"/>
      <c r="D20" s="457"/>
      <c r="E20" s="458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11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0">
        <v>16698608.339999998</v>
      </c>
      <c r="N21" s="110">
        <v>465740.1</v>
      </c>
      <c r="O21" s="110">
        <f>M21*30/100</f>
        <v>5009582.501999999</v>
      </c>
      <c r="P21" s="108">
        <f>N21</f>
        <v>465740.1</v>
      </c>
      <c r="Q21" s="110">
        <f>(M21-O21)/3</f>
        <v>3896341.946</v>
      </c>
      <c r="R21" s="110">
        <f>Q21</f>
        <v>3896341.946</v>
      </c>
      <c r="S21" s="110">
        <f>R21</f>
        <v>3896341.946</v>
      </c>
      <c r="T21" s="110">
        <v>43829</v>
      </c>
      <c r="U21" s="36" t="s">
        <v>184</v>
      </c>
      <c r="V21" s="116">
        <f t="shared" si="1"/>
        <v>0</v>
      </c>
      <c r="W21" s="100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0">
        <v>16698608.339999998</v>
      </c>
      <c r="N22" s="110">
        <v>465740.1</v>
      </c>
      <c r="O22" s="110">
        <f>M22*30/100</f>
        <v>5009582.501999999</v>
      </c>
      <c r="P22" s="108">
        <f>N22</f>
        <v>465740.1</v>
      </c>
      <c r="Q22" s="110">
        <f>(M22-O22)/3</f>
        <v>3896341.946</v>
      </c>
      <c r="R22" s="110">
        <f>Q22</f>
        <v>3896341.946</v>
      </c>
      <c r="S22" s="110">
        <f>R22</f>
        <v>3896341.946</v>
      </c>
      <c r="T22" s="110">
        <v>43829</v>
      </c>
      <c r="U22" s="36" t="s">
        <v>184</v>
      </c>
      <c r="V22" s="116">
        <f t="shared" si="1"/>
        <v>0</v>
      </c>
      <c r="W22" s="100"/>
    </row>
    <row r="23" spans="1:23" ht="18" customHeight="1">
      <c r="A23" s="426" t="s">
        <v>23</v>
      </c>
      <c r="B23" s="427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9">
        <f>SUM(M21:M22)</f>
        <v>33397216.679999996</v>
      </c>
      <c r="N23" s="109">
        <f aca="true" t="shared" si="3" ref="N23:S23">SUM(N21:N22)</f>
        <v>931480.2</v>
      </c>
      <c r="O23" s="109">
        <f t="shared" si="3"/>
        <v>10019165.003999999</v>
      </c>
      <c r="P23" s="109">
        <f t="shared" si="3"/>
        <v>931480.2</v>
      </c>
      <c r="Q23" s="109">
        <f t="shared" si="3"/>
        <v>7792683.892</v>
      </c>
      <c r="R23" s="109">
        <f t="shared" si="3"/>
        <v>7792683.892</v>
      </c>
      <c r="S23" s="109">
        <f t="shared" si="3"/>
        <v>7792683.892</v>
      </c>
      <c r="T23" s="105" t="s">
        <v>261</v>
      </c>
      <c r="U23" s="67" t="s">
        <v>261</v>
      </c>
      <c r="V23" s="116">
        <f t="shared" si="1"/>
        <v>0</v>
      </c>
      <c r="W23" s="93"/>
    </row>
    <row r="24" spans="1:29" s="15" customFormat="1" ht="18" customHeight="1">
      <c r="A24" s="428" t="s">
        <v>25</v>
      </c>
      <c r="B24" s="429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11">
        <f>M23+M19+M14</f>
        <v>62818239.03999999</v>
      </c>
      <c r="N24" s="111">
        <f aca="true" t="shared" si="4" ref="N24:S24">N23+N19+N14</f>
        <v>1840673.5699999998</v>
      </c>
      <c r="O24" s="111">
        <f t="shared" si="4"/>
        <v>18845471.711999997</v>
      </c>
      <c r="P24" s="111">
        <f t="shared" si="4"/>
        <v>1840673.5699999998</v>
      </c>
      <c r="Q24" s="111">
        <f t="shared" si="4"/>
        <v>14657589.109333334</v>
      </c>
      <c r="R24" s="111">
        <f t="shared" si="4"/>
        <v>14657589.109333334</v>
      </c>
      <c r="S24" s="111">
        <f t="shared" si="4"/>
        <v>14657589.109333334</v>
      </c>
      <c r="T24" s="111" t="s">
        <v>261</v>
      </c>
      <c r="U24" s="12" t="s">
        <v>261</v>
      </c>
      <c r="V24" s="116">
        <f>M24-'2017'!M15-'раздел 1 2020'!N86</f>
        <v>-293138513.46299994</v>
      </c>
      <c r="W24" s="116">
        <f>N24-'2017'!N15-'раздел 1 2020'!P86</f>
        <v>-12387692.889999999</v>
      </c>
      <c r="X24" s="116" t="e">
        <f>O24-'2017'!O15-'раздел 1 2020'!#REF!</f>
        <v>#REF!</v>
      </c>
      <c r="Y24" s="116" t="e">
        <f>P24-'2017'!P15-'раздел 1 2020'!#REF!</f>
        <v>#REF!</v>
      </c>
      <c r="Z24" s="116" t="e">
        <f>Q24-'2017'!Q15-'раздел 1 2020'!#REF!</f>
        <v>#REF!</v>
      </c>
      <c r="AA24" s="116" t="e">
        <f>T24-'2017'!T15-'раздел 1 2020'!R86</f>
        <v>#VALUE!</v>
      </c>
      <c r="AB24" s="116" t="e">
        <f>U24-'2017'!U15-'раздел 1 2020'!S86</f>
        <v>#VALUE!</v>
      </c>
      <c r="AC24" s="116" t="e">
        <f>V24-'2017'!V15-'раздел 1 2020'!#REF!</f>
        <v>#REF!</v>
      </c>
    </row>
    <row r="25" spans="1:23" ht="18" customHeight="1">
      <c r="A25" s="338" t="s">
        <v>256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40"/>
      <c r="V25" s="116">
        <f t="shared" si="1"/>
        <v>0</v>
      </c>
      <c r="W25" s="88"/>
    </row>
    <row r="26" spans="1:23" ht="18" customHeight="1">
      <c r="A26" s="345" t="s">
        <v>26</v>
      </c>
      <c r="B26" s="346"/>
      <c r="C26" s="346"/>
      <c r="D26" s="346"/>
      <c r="E26" s="347"/>
      <c r="F26" s="332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4"/>
      <c r="V26" s="11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0">
        <v>3249638.58</v>
      </c>
      <c r="N27" s="110">
        <v>61029.6</v>
      </c>
      <c r="O27" s="110">
        <f>M27*30/100</f>
        <v>974891.574</v>
      </c>
      <c r="P27" s="108">
        <f>N27</f>
        <v>61029.6</v>
      </c>
      <c r="Q27" s="110">
        <f aca="true" t="shared" si="5" ref="Q27:Q58">(M27-O27)/3</f>
        <v>758249.002</v>
      </c>
      <c r="R27" s="110">
        <f aca="true" t="shared" si="6" ref="R27:S58">Q27</f>
        <v>758249.002</v>
      </c>
      <c r="S27" s="110">
        <f t="shared" si="6"/>
        <v>758249.002</v>
      </c>
      <c r="T27" s="110">
        <v>43829</v>
      </c>
      <c r="U27" s="36" t="s">
        <v>184</v>
      </c>
      <c r="V27" s="116">
        <f t="shared" si="1"/>
        <v>0</v>
      </c>
      <c r="W27" s="100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0">
        <v>2421558.24</v>
      </c>
      <c r="N28" s="110">
        <v>66534.3</v>
      </c>
      <c r="O28" s="110">
        <f>M28*30/100</f>
        <v>726467.4720000001</v>
      </c>
      <c r="P28" s="108">
        <f aca="true" t="shared" si="7" ref="P28:P54">N28</f>
        <v>66534.3</v>
      </c>
      <c r="Q28" s="110">
        <f t="shared" si="5"/>
        <v>565030.256</v>
      </c>
      <c r="R28" s="110">
        <f t="shared" si="6"/>
        <v>565030.256</v>
      </c>
      <c r="S28" s="110">
        <f t="shared" si="6"/>
        <v>565030.256</v>
      </c>
      <c r="T28" s="110">
        <v>43829</v>
      </c>
      <c r="U28" s="36" t="s">
        <v>184</v>
      </c>
      <c r="V28" s="116">
        <f t="shared" si="1"/>
        <v>0</v>
      </c>
      <c r="W28" s="100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08">
        <v>4264610.86</v>
      </c>
      <c r="N29" s="108">
        <v>141532.5</v>
      </c>
      <c r="O29" s="108">
        <f>M29*30/100</f>
        <v>1279383.2580000001</v>
      </c>
      <c r="P29" s="108">
        <f t="shared" si="7"/>
        <v>141532.5</v>
      </c>
      <c r="Q29" s="108">
        <f t="shared" si="5"/>
        <v>995075.8673333334</v>
      </c>
      <c r="R29" s="108">
        <f t="shared" si="6"/>
        <v>995075.8673333334</v>
      </c>
      <c r="S29" s="108">
        <f t="shared" si="6"/>
        <v>995075.8673333334</v>
      </c>
      <c r="T29" s="108">
        <v>43829</v>
      </c>
      <c r="U29" s="24" t="s">
        <v>184</v>
      </c>
      <c r="V29" s="11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08">
        <v>5372847.39</v>
      </c>
      <c r="N30" s="108">
        <v>141532.5</v>
      </c>
      <c r="O30" s="108">
        <f aca="true" t="shared" si="9" ref="O30:O58">M30*30/100</f>
        <v>1611854.217</v>
      </c>
      <c r="P30" s="108">
        <f t="shared" si="7"/>
        <v>141532.5</v>
      </c>
      <c r="Q30" s="108">
        <f t="shared" si="5"/>
        <v>1253664.3909999998</v>
      </c>
      <c r="R30" s="108">
        <f t="shared" si="6"/>
        <v>1253664.3909999998</v>
      </c>
      <c r="S30" s="108">
        <f t="shared" si="6"/>
        <v>1253664.3909999998</v>
      </c>
      <c r="T30" s="108">
        <v>43829</v>
      </c>
      <c r="U30" s="24" t="s">
        <v>184</v>
      </c>
      <c r="V30" s="11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08">
        <v>11712390.83</v>
      </c>
      <c r="N31" s="108">
        <v>348207.88</v>
      </c>
      <c r="O31" s="108">
        <f t="shared" si="9"/>
        <v>3513717.249</v>
      </c>
      <c r="P31" s="108">
        <f t="shared" si="7"/>
        <v>348207.88</v>
      </c>
      <c r="Q31" s="108">
        <f t="shared" si="5"/>
        <v>2732891.1936666667</v>
      </c>
      <c r="R31" s="108">
        <f t="shared" si="6"/>
        <v>2732891.1936666667</v>
      </c>
      <c r="S31" s="108">
        <f t="shared" si="6"/>
        <v>2732891.1936666667</v>
      </c>
      <c r="T31" s="108">
        <v>43829</v>
      </c>
      <c r="U31" s="24" t="s">
        <v>184</v>
      </c>
      <c r="V31" s="11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08">
        <v>8476810.51</v>
      </c>
      <c r="N32" s="108">
        <v>178560.48</v>
      </c>
      <c r="O32" s="108">
        <f t="shared" si="9"/>
        <v>2543043.153</v>
      </c>
      <c r="P32" s="108">
        <f t="shared" si="7"/>
        <v>178560.48</v>
      </c>
      <c r="Q32" s="108">
        <f t="shared" si="5"/>
        <v>1977922.4523333332</v>
      </c>
      <c r="R32" s="108">
        <f t="shared" si="6"/>
        <v>1977922.4523333332</v>
      </c>
      <c r="S32" s="108">
        <f t="shared" si="6"/>
        <v>1977922.4523333332</v>
      </c>
      <c r="T32" s="108">
        <v>43829</v>
      </c>
      <c r="U32" s="24" t="s">
        <v>184</v>
      </c>
      <c r="V32" s="11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08">
        <v>2834967.65</v>
      </c>
      <c r="N33" s="108">
        <v>62331.67</v>
      </c>
      <c r="O33" s="108">
        <f t="shared" si="9"/>
        <v>850490.295</v>
      </c>
      <c r="P33" s="108">
        <f t="shared" si="7"/>
        <v>62331.67</v>
      </c>
      <c r="Q33" s="108">
        <f t="shared" si="5"/>
        <v>661492.4516666667</v>
      </c>
      <c r="R33" s="108">
        <f t="shared" si="6"/>
        <v>661492.4516666667</v>
      </c>
      <c r="S33" s="108">
        <f t="shared" si="6"/>
        <v>661492.4516666667</v>
      </c>
      <c r="T33" s="108">
        <v>43829</v>
      </c>
      <c r="U33" s="24" t="s">
        <v>184</v>
      </c>
      <c r="V33" s="11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08">
        <v>2114073.43</v>
      </c>
      <c r="N34" s="108">
        <v>67954.73</v>
      </c>
      <c r="O34" s="108">
        <f t="shared" si="9"/>
        <v>634222.0290000001</v>
      </c>
      <c r="P34" s="108">
        <f t="shared" si="7"/>
        <v>67954.73</v>
      </c>
      <c r="Q34" s="108">
        <f t="shared" si="5"/>
        <v>493283.8003333334</v>
      </c>
      <c r="R34" s="108">
        <f t="shared" si="6"/>
        <v>493283.8003333334</v>
      </c>
      <c r="S34" s="108">
        <f t="shared" si="6"/>
        <v>493283.8003333334</v>
      </c>
      <c r="T34" s="108">
        <v>43829</v>
      </c>
      <c r="U34" s="24" t="s">
        <v>184</v>
      </c>
      <c r="V34" s="11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08">
        <v>4153483.33</v>
      </c>
      <c r="N35" s="108">
        <v>135909.46</v>
      </c>
      <c r="O35" s="108">
        <f t="shared" si="9"/>
        <v>1246044.999</v>
      </c>
      <c r="P35" s="108">
        <f t="shared" si="7"/>
        <v>135909.46</v>
      </c>
      <c r="Q35" s="108">
        <f t="shared" si="5"/>
        <v>969146.1103333334</v>
      </c>
      <c r="R35" s="108">
        <f t="shared" si="6"/>
        <v>969146.1103333334</v>
      </c>
      <c r="S35" s="108">
        <f t="shared" si="6"/>
        <v>969146.1103333334</v>
      </c>
      <c r="T35" s="108">
        <v>43829</v>
      </c>
      <c r="U35" s="24" t="s">
        <v>184</v>
      </c>
      <c r="V35" s="11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08">
        <v>4153483.33</v>
      </c>
      <c r="N36" s="108">
        <v>135909.46</v>
      </c>
      <c r="O36" s="108">
        <f t="shared" si="9"/>
        <v>1246044.999</v>
      </c>
      <c r="P36" s="108">
        <f t="shared" si="7"/>
        <v>135909.46</v>
      </c>
      <c r="Q36" s="108">
        <f t="shared" si="5"/>
        <v>969146.1103333334</v>
      </c>
      <c r="R36" s="108">
        <f t="shared" si="6"/>
        <v>969146.1103333334</v>
      </c>
      <c r="S36" s="108">
        <f t="shared" si="6"/>
        <v>969146.1103333334</v>
      </c>
      <c r="T36" s="108">
        <v>43829</v>
      </c>
      <c r="U36" s="24" t="s">
        <v>184</v>
      </c>
      <c r="V36" s="11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08">
        <v>6208034.49</v>
      </c>
      <c r="N37" s="108">
        <f>SUM(T36:T38)</f>
        <v>131487</v>
      </c>
      <c r="O37" s="108">
        <f t="shared" si="9"/>
        <v>1862410.347</v>
      </c>
      <c r="P37" s="108">
        <f t="shared" si="7"/>
        <v>131487</v>
      </c>
      <c r="Q37" s="108">
        <f t="shared" si="5"/>
        <v>1448541.381</v>
      </c>
      <c r="R37" s="108">
        <f t="shared" si="6"/>
        <v>1448541.381</v>
      </c>
      <c r="S37" s="108">
        <f t="shared" si="6"/>
        <v>1448541.381</v>
      </c>
      <c r="T37" s="108">
        <v>43829</v>
      </c>
      <c r="U37" s="24" t="s">
        <v>184</v>
      </c>
      <c r="V37" s="11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08">
        <v>4105584.58</v>
      </c>
      <c r="N38" s="108">
        <v>130286.4</v>
      </c>
      <c r="O38" s="108">
        <f t="shared" si="9"/>
        <v>1231675.374</v>
      </c>
      <c r="P38" s="108">
        <f t="shared" si="7"/>
        <v>130286.4</v>
      </c>
      <c r="Q38" s="108">
        <f t="shared" si="5"/>
        <v>957969.7353333334</v>
      </c>
      <c r="R38" s="108">
        <f t="shared" si="6"/>
        <v>957969.7353333334</v>
      </c>
      <c r="S38" s="108">
        <f t="shared" si="6"/>
        <v>957969.7353333334</v>
      </c>
      <c r="T38" s="108">
        <v>43829</v>
      </c>
      <c r="U38" s="24" t="s">
        <v>184</v>
      </c>
      <c r="V38" s="11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08">
        <v>4098963.52</v>
      </c>
      <c r="N39" s="108">
        <v>130286.4</v>
      </c>
      <c r="O39" s="108">
        <f t="shared" si="9"/>
        <v>1229689.0559999999</v>
      </c>
      <c r="P39" s="108">
        <f t="shared" si="7"/>
        <v>130286.4</v>
      </c>
      <c r="Q39" s="108">
        <f t="shared" si="5"/>
        <v>956424.8213333334</v>
      </c>
      <c r="R39" s="108">
        <f t="shared" si="6"/>
        <v>956424.8213333334</v>
      </c>
      <c r="S39" s="108">
        <f t="shared" si="6"/>
        <v>956424.8213333334</v>
      </c>
      <c r="T39" s="108">
        <v>43829</v>
      </c>
      <c r="U39" s="24" t="s">
        <v>184</v>
      </c>
      <c r="V39" s="11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08">
        <v>4108023.93</v>
      </c>
      <c r="N40" s="108">
        <v>130286.4</v>
      </c>
      <c r="O40" s="108">
        <f t="shared" si="9"/>
        <v>1232407.179</v>
      </c>
      <c r="P40" s="108">
        <f t="shared" si="7"/>
        <v>130286.4</v>
      </c>
      <c r="Q40" s="108">
        <f t="shared" si="5"/>
        <v>958538.917</v>
      </c>
      <c r="R40" s="108">
        <f t="shared" si="6"/>
        <v>958538.917</v>
      </c>
      <c r="S40" s="108">
        <f t="shared" si="6"/>
        <v>958538.917</v>
      </c>
      <c r="T40" s="108">
        <v>43829</v>
      </c>
      <c r="U40" s="24" t="s">
        <v>184</v>
      </c>
      <c r="V40" s="11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08">
        <v>6750207.7</v>
      </c>
      <c r="N41" s="108">
        <v>203596.02</v>
      </c>
      <c r="O41" s="108">
        <f t="shared" si="9"/>
        <v>2025062.31</v>
      </c>
      <c r="P41" s="108">
        <f t="shared" si="7"/>
        <v>203596.02</v>
      </c>
      <c r="Q41" s="108">
        <f t="shared" si="5"/>
        <v>1575048.4633333336</v>
      </c>
      <c r="R41" s="108">
        <f t="shared" si="6"/>
        <v>1575048.4633333336</v>
      </c>
      <c r="S41" s="108">
        <f t="shared" si="6"/>
        <v>1575048.4633333336</v>
      </c>
      <c r="T41" s="108">
        <v>43829</v>
      </c>
      <c r="U41" s="24" t="s">
        <v>184</v>
      </c>
      <c r="V41" s="11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08">
        <v>10355055.78</v>
      </c>
      <c r="N42" s="108">
        <v>260232.48</v>
      </c>
      <c r="O42" s="108">
        <f t="shared" si="9"/>
        <v>3106516.7339999997</v>
      </c>
      <c r="P42" s="108">
        <f t="shared" si="7"/>
        <v>260232.48</v>
      </c>
      <c r="Q42" s="108">
        <f t="shared" si="5"/>
        <v>2416179.682</v>
      </c>
      <c r="R42" s="108">
        <f t="shared" si="6"/>
        <v>2416179.682</v>
      </c>
      <c r="S42" s="108">
        <f t="shared" si="6"/>
        <v>2416179.682</v>
      </c>
      <c r="T42" s="108">
        <v>43829</v>
      </c>
      <c r="U42" s="24" t="s">
        <v>184</v>
      </c>
      <c r="V42" s="11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08">
        <v>6395649.56</v>
      </c>
      <c r="N43" s="108">
        <v>186749.16</v>
      </c>
      <c r="O43" s="108">
        <f t="shared" si="9"/>
        <v>1918694.8679999998</v>
      </c>
      <c r="P43" s="108">
        <f t="shared" si="7"/>
        <v>186749.16</v>
      </c>
      <c r="Q43" s="108">
        <f t="shared" si="5"/>
        <v>1492318.2306666665</v>
      </c>
      <c r="R43" s="108">
        <f t="shared" si="6"/>
        <v>1492318.2306666665</v>
      </c>
      <c r="S43" s="108">
        <f t="shared" si="6"/>
        <v>1492318.2306666665</v>
      </c>
      <c r="T43" s="108">
        <v>43829</v>
      </c>
      <c r="U43" s="24" t="s">
        <v>184</v>
      </c>
      <c r="V43" s="11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08">
        <v>4253339.5</v>
      </c>
      <c r="N44" s="108">
        <v>130286.16</v>
      </c>
      <c r="O44" s="108">
        <f t="shared" si="9"/>
        <v>1276001.85</v>
      </c>
      <c r="P44" s="108">
        <f t="shared" si="7"/>
        <v>130286.16</v>
      </c>
      <c r="Q44" s="108">
        <f t="shared" si="5"/>
        <v>992445.8833333333</v>
      </c>
      <c r="R44" s="108">
        <f t="shared" si="6"/>
        <v>992445.8833333333</v>
      </c>
      <c r="S44" s="108">
        <f t="shared" si="6"/>
        <v>992445.8833333333</v>
      </c>
      <c r="T44" s="108">
        <v>43829</v>
      </c>
      <c r="U44" s="24" t="s">
        <v>184</v>
      </c>
      <c r="V44" s="11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08">
        <f>2138688.64</f>
        <v>2138688.64</v>
      </c>
      <c r="N45" s="108">
        <v>65143.08</v>
      </c>
      <c r="O45" s="108">
        <f t="shared" si="9"/>
        <v>641606.5920000001</v>
      </c>
      <c r="P45" s="108">
        <f t="shared" si="7"/>
        <v>65143.08</v>
      </c>
      <c r="Q45" s="108">
        <f t="shared" si="5"/>
        <v>499027.3493333333</v>
      </c>
      <c r="R45" s="108">
        <f t="shared" si="6"/>
        <v>499027.3493333333</v>
      </c>
      <c r="S45" s="108">
        <f t="shared" si="6"/>
        <v>499027.3493333333</v>
      </c>
      <c r="T45" s="108">
        <v>43829</v>
      </c>
      <c r="U45" s="24" t="s">
        <v>184</v>
      </c>
      <c r="V45" s="11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08">
        <v>6351148.22</v>
      </c>
      <c r="N46" s="108">
        <v>203861.52</v>
      </c>
      <c r="O46" s="108">
        <f t="shared" si="9"/>
        <v>1905344.466</v>
      </c>
      <c r="P46" s="108">
        <f t="shared" si="7"/>
        <v>203861.52</v>
      </c>
      <c r="Q46" s="108">
        <f t="shared" si="5"/>
        <v>1481934.5846666666</v>
      </c>
      <c r="R46" s="108">
        <f t="shared" si="6"/>
        <v>1481934.5846666666</v>
      </c>
      <c r="S46" s="108">
        <f t="shared" si="6"/>
        <v>1481934.5846666666</v>
      </c>
      <c r="T46" s="108">
        <v>43829</v>
      </c>
      <c r="U46" s="24" t="s">
        <v>184</v>
      </c>
      <c r="V46" s="11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08">
        <f>2256141.12</f>
        <v>2256141.12</v>
      </c>
      <c r="N47" s="108">
        <v>67865.34</v>
      </c>
      <c r="O47" s="108">
        <f t="shared" si="9"/>
        <v>676842.3360000001</v>
      </c>
      <c r="P47" s="108">
        <f t="shared" si="7"/>
        <v>67865.34</v>
      </c>
      <c r="Q47" s="108">
        <f t="shared" si="5"/>
        <v>526432.928</v>
      </c>
      <c r="R47" s="108">
        <f t="shared" si="6"/>
        <v>526432.928</v>
      </c>
      <c r="S47" s="108">
        <f t="shared" si="6"/>
        <v>526432.928</v>
      </c>
      <c r="T47" s="108">
        <v>43829</v>
      </c>
      <c r="U47" s="24" t="s">
        <v>184</v>
      </c>
      <c r="V47" s="11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08">
        <f>2256141.12</f>
        <v>2256141.12</v>
      </c>
      <c r="N48" s="108">
        <v>67865.34</v>
      </c>
      <c r="O48" s="108">
        <f t="shared" si="9"/>
        <v>676842.3360000001</v>
      </c>
      <c r="P48" s="108">
        <f t="shared" si="7"/>
        <v>67865.34</v>
      </c>
      <c r="Q48" s="108">
        <f t="shared" si="5"/>
        <v>526432.928</v>
      </c>
      <c r="R48" s="108">
        <f t="shared" si="6"/>
        <v>526432.928</v>
      </c>
      <c r="S48" s="108">
        <f t="shared" si="6"/>
        <v>526432.928</v>
      </c>
      <c r="T48" s="108">
        <v>43829</v>
      </c>
      <c r="U48" s="24" t="s">
        <v>184</v>
      </c>
      <c r="V48" s="11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08">
        <f>2256141.12</f>
        <v>2256141.12</v>
      </c>
      <c r="N49" s="108">
        <v>67865.34</v>
      </c>
      <c r="O49" s="108">
        <f t="shared" si="9"/>
        <v>676842.3360000001</v>
      </c>
      <c r="P49" s="108">
        <f t="shared" si="7"/>
        <v>67865.34</v>
      </c>
      <c r="Q49" s="108">
        <f t="shared" si="5"/>
        <v>526432.928</v>
      </c>
      <c r="R49" s="108">
        <f t="shared" si="6"/>
        <v>526432.928</v>
      </c>
      <c r="S49" s="108">
        <f t="shared" si="6"/>
        <v>526432.928</v>
      </c>
      <c r="T49" s="108">
        <v>43829</v>
      </c>
      <c r="U49" s="24" t="s">
        <v>184</v>
      </c>
      <c r="V49" s="11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08">
        <v>4226752.92</v>
      </c>
      <c r="N50" s="108">
        <v>130286.16</v>
      </c>
      <c r="O50" s="108">
        <f t="shared" si="9"/>
        <v>1268025.876</v>
      </c>
      <c r="P50" s="108">
        <f t="shared" si="7"/>
        <v>130286.16</v>
      </c>
      <c r="Q50" s="108">
        <f t="shared" si="5"/>
        <v>986242.3479999999</v>
      </c>
      <c r="R50" s="108">
        <f t="shared" si="6"/>
        <v>986242.3479999999</v>
      </c>
      <c r="S50" s="108">
        <f t="shared" si="6"/>
        <v>986242.3479999999</v>
      </c>
      <c r="T50" s="108">
        <v>43829</v>
      </c>
      <c r="U50" s="24" t="s">
        <v>184</v>
      </c>
      <c r="V50" s="11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08">
        <v>5884421.64</v>
      </c>
      <c r="N51" s="108">
        <v>163809.96</v>
      </c>
      <c r="O51" s="108">
        <f t="shared" si="9"/>
        <v>1765326.4919999999</v>
      </c>
      <c r="P51" s="108">
        <f t="shared" si="7"/>
        <v>163809.96</v>
      </c>
      <c r="Q51" s="108">
        <f t="shared" si="5"/>
        <v>1373031.716</v>
      </c>
      <c r="R51" s="108">
        <f t="shared" si="6"/>
        <v>1373031.716</v>
      </c>
      <c r="S51" s="108">
        <f t="shared" si="6"/>
        <v>1373031.716</v>
      </c>
      <c r="T51" s="108">
        <v>43829</v>
      </c>
      <c r="U51" s="24" t="s">
        <v>184</v>
      </c>
      <c r="V51" s="11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08">
        <v>4464153.58</v>
      </c>
      <c r="N52" s="108">
        <v>135730.68</v>
      </c>
      <c r="O52" s="108">
        <f t="shared" si="9"/>
        <v>1339246.074</v>
      </c>
      <c r="P52" s="108">
        <f t="shared" si="7"/>
        <v>135730.68</v>
      </c>
      <c r="Q52" s="108">
        <f t="shared" si="5"/>
        <v>1041635.8353333334</v>
      </c>
      <c r="R52" s="108">
        <f t="shared" si="6"/>
        <v>1041635.8353333334</v>
      </c>
      <c r="S52" s="108">
        <f t="shared" si="6"/>
        <v>1041635.8353333334</v>
      </c>
      <c r="T52" s="108">
        <v>43829</v>
      </c>
      <c r="U52" s="24" t="s">
        <v>184</v>
      </c>
      <c r="V52" s="11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08">
        <f>2788331.24</f>
        <v>2788331.24</v>
      </c>
      <c r="N53" s="108">
        <v>62249.72</v>
      </c>
      <c r="O53" s="108">
        <f t="shared" si="9"/>
        <v>836499.372</v>
      </c>
      <c r="P53" s="108">
        <f>N53</f>
        <v>62249.72</v>
      </c>
      <c r="Q53" s="108">
        <f t="shared" si="5"/>
        <v>650610.6226666667</v>
      </c>
      <c r="R53" s="108">
        <f t="shared" si="6"/>
        <v>650610.6226666667</v>
      </c>
      <c r="S53" s="108">
        <f t="shared" si="6"/>
        <v>650610.6226666667</v>
      </c>
      <c r="T53" s="108">
        <v>43829</v>
      </c>
      <c r="U53" s="24" t="s">
        <v>184</v>
      </c>
      <c r="V53" s="11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08">
        <v>4504657.08</v>
      </c>
      <c r="N54" s="108">
        <v>130115.06</v>
      </c>
      <c r="O54" s="108">
        <f t="shared" si="9"/>
        <v>1351397.124</v>
      </c>
      <c r="P54" s="108">
        <f t="shared" si="7"/>
        <v>130115.06</v>
      </c>
      <c r="Q54" s="108">
        <f t="shared" si="5"/>
        <v>1051086.652</v>
      </c>
      <c r="R54" s="108">
        <f t="shared" si="6"/>
        <v>1051086.652</v>
      </c>
      <c r="S54" s="108">
        <f t="shared" si="6"/>
        <v>1051086.652</v>
      </c>
      <c r="T54" s="108">
        <v>43829</v>
      </c>
      <c r="U54" s="24" t="s">
        <v>184</v>
      </c>
      <c r="V54" s="116">
        <f t="shared" si="1"/>
        <v>0</v>
      </c>
      <c r="W54" s="90"/>
    </row>
    <row r="55" spans="1:23" ht="18" customHeight="1">
      <c r="A55" s="426" t="s">
        <v>23</v>
      </c>
      <c r="B55" s="427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09">
        <f t="shared" si="10"/>
        <v>132155299.89000002</v>
      </c>
      <c r="N55" s="109">
        <f aca="true" t="shared" si="11" ref="N55:S55">SUM(N27:N54)</f>
        <v>3737504.8000000003</v>
      </c>
      <c r="O55" s="109">
        <f t="shared" si="11"/>
        <v>39646589.967</v>
      </c>
      <c r="P55" s="109">
        <f t="shared" si="11"/>
        <v>3737504.8000000003</v>
      </c>
      <c r="Q55" s="109">
        <f t="shared" si="11"/>
        <v>30836236.640999995</v>
      </c>
      <c r="R55" s="109">
        <f t="shared" si="11"/>
        <v>30836236.640999995</v>
      </c>
      <c r="S55" s="109">
        <f t="shared" si="11"/>
        <v>30836236.640999995</v>
      </c>
      <c r="T55" s="109" t="s">
        <v>261</v>
      </c>
      <c r="U55" s="6" t="s">
        <v>261</v>
      </c>
      <c r="V55" s="116">
        <f t="shared" si="1"/>
        <v>3.725290298461914E-08</v>
      </c>
      <c r="W55" s="91"/>
    </row>
    <row r="56" spans="1:23" ht="18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112"/>
      <c r="N56" s="112"/>
      <c r="O56" s="112"/>
      <c r="P56" s="112"/>
      <c r="Q56" s="112"/>
      <c r="R56" s="112"/>
      <c r="S56" s="112"/>
      <c r="T56" s="112"/>
      <c r="U56" s="72"/>
      <c r="V56" s="11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0">
        <v>5417787.1</v>
      </c>
      <c r="N57" s="110">
        <v>149586.24</v>
      </c>
      <c r="O57" s="110">
        <f t="shared" si="9"/>
        <v>1625336.13</v>
      </c>
      <c r="P57" s="108">
        <f>N57</f>
        <v>149586.24</v>
      </c>
      <c r="Q57" s="110">
        <f t="shared" si="5"/>
        <v>1264150.3233333332</v>
      </c>
      <c r="R57" s="110">
        <f t="shared" si="6"/>
        <v>1264150.3233333332</v>
      </c>
      <c r="S57" s="110">
        <f t="shared" si="6"/>
        <v>1264150.3233333332</v>
      </c>
      <c r="T57" s="113" t="s">
        <v>314</v>
      </c>
      <c r="U57" s="36" t="s">
        <v>184</v>
      </c>
      <c r="V57" s="116">
        <f t="shared" si="1"/>
        <v>0</v>
      </c>
      <c r="W57" s="100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0">
        <v>9430303.940000001</v>
      </c>
      <c r="N58" s="110">
        <v>266137.2</v>
      </c>
      <c r="O58" s="110">
        <f t="shared" si="9"/>
        <v>2829091.1820000005</v>
      </c>
      <c r="P58" s="108">
        <f>N58</f>
        <v>266137.2</v>
      </c>
      <c r="Q58" s="110">
        <f t="shared" si="5"/>
        <v>2200404.252666667</v>
      </c>
      <c r="R58" s="110">
        <f t="shared" si="6"/>
        <v>2200404.252666667</v>
      </c>
      <c r="S58" s="110">
        <f t="shared" si="6"/>
        <v>2200404.252666667</v>
      </c>
      <c r="T58" s="113" t="s">
        <v>314</v>
      </c>
      <c r="U58" s="36" t="s">
        <v>184</v>
      </c>
      <c r="V58" s="116">
        <f t="shared" si="1"/>
        <v>0</v>
      </c>
      <c r="W58" s="100"/>
    </row>
    <row r="59" spans="1:23" ht="18" customHeight="1">
      <c r="A59" s="452" t="s">
        <v>23</v>
      </c>
      <c r="B59" s="452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09">
        <f t="shared" si="12"/>
        <v>14848091.040000001</v>
      </c>
      <c r="N59" s="109">
        <f aca="true" t="shared" si="13" ref="N59:S59">SUM(N57:N58)</f>
        <v>415723.44</v>
      </c>
      <c r="O59" s="109">
        <f t="shared" si="13"/>
        <v>4454427.312000001</v>
      </c>
      <c r="P59" s="109">
        <f t="shared" si="13"/>
        <v>415723.44</v>
      </c>
      <c r="Q59" s="109">
        <f t="shared" si="13"/>
        <v>3464554.5760000004</v>
      </c>
      <c r="R59" s="109">
        <f t="shared" si="13"/>
        <v>3464554.5760000004</v>
      </c>
      <c r="S59" s="109">
        <f t="shared" si="13"/>
        <v>3464554.5760000004</v>
      </c>
      <c r="T59" s="105" t="s">
        <v>261</v>
      </c>
      <c r="U59" s="67" t="s">
        <v>261</v>
      </c>
      <c r="V59" s="116">
        <f t="shared" si="1"/>
        <v>0</v>
      </c>
      <c r="W59" s="93"/>
    </row>
    <row r="60" spans="1:31" s="15" customFormat="1" ht="18" customHeight="1">
      <c r="A60" s="428" t="s">
        <v>27</v>
      </c>
      <c r="B60" s="429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11">
        <f t="shared" si="14"/>
        <v>147003390.93</v>
      </c>
      <c r="N60" s="111">
        <f aca="true" t="shared" si="15" ref="N60:S60">N59+N55</f>
        <v>4153228.24</v>
      </c>
      <c r="O60" s="111">
        <f t="shared" si="15"/>
        <v>44101017.279</v>
      </c>
      <c r="P60" s="111">
        <f t="shared" si="15"/>
        <v>4153228.24</v>
      </c>
      <c r="Q60" s="111">
        <f t="shared" si="15"/>
        <v>34300791.21699999</v>
      </c>
      <c r="R60" s="111">
        <f t="shared" si="15"/>
        <v>34300791.21699999</v>
      </c>
      <c r="S60" s="111">
        <f t="shared" si="15"/>
        <v>34300791.21699999</v>
      </c>
      <c r="T60" s="111" t="s">
        <v>261</v>
      </c>
      <c r="U60" s="12" t="s">
        <v>261</v>
      </c>
      <c r="V60" s="116">
        <f t="shared" si="1"/>
        <v>0</v>
      </c>
      <c r="W60" s="118" t="e">
        <f>M60-'2017'!M25-'раздел 1 2020'!#REF!</f>
        <v>#REF!</v>
      </c>
      <c r="X60" s="118" t="e">
        <f>N60-'2017'!N25-'раздел 1 2020'!#REF!</f>
        <v>#REF!</v>
      </c>
      <c r="Y60" s="118" t="e">
        <f>O60-'2017'!O25-'раздел 1 2020'!#REF!</f>
        <v>#REF!</v>
      </c>
      <c r="Z60" s="118" t="e">
        <f>P60-'2017'!P25-'раздел 1 2020'!#REF!</f>
        <v>#REF!</v>
      </c>
      <c r="AA60" s="118" t="e">
        <f>Q60-'2017'!Q25-'раздел 1 2020'!#REF!</f>
        <v>#REF!</v>
      </c>
      <c r="AB60" s="118" t="e">
        <f>R60-'2017'!R25-'раздел 1 2020'!#REF!</f>
        <v>#REF!</v>
      </c>
      <c r="AC60" s="118" t="e">
        <f>S60-'2017'!S25-'раздел 1 2020'!#REF!</f>
        <v>#REF!</v>
      </c>
      <c r="AD60" s="118" t="e">
        <f>T60-'2017'!T25-'раздел 1 2020'!#REF!</f>
        <v>#VALUE!</v>
      </c>
      <c r="AE60" s="118" t="e">
        <f>U60-'2017'!U25-'раздел 1 2020'!#REF!</f>
        <v>#VALUE!</v>
      </c>
    </row>
    <row r="61" spans="1:23" s="15" customFormat="1" ht="18" customHeight="1">
      <c r="A61" s="453" t="s">
        <v>273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  <c r="P61" s="454"/>
      <c r="Q61" s="454"/>
      <c r="R61" s="454"/>
      <c r="S61" s="454"/>
      <c r="T61" s="454"/>
      <c r="U61" s="455"/>
      <c r="V61" s="116">
        <f t="shared" si="1"/>
        <v>0</v>
      </c>
      <c r="W61" s="92"/>
    </row>
    <row r="62" spans="1:23" s="15" customFormat="1" ht="18" customHeight="1">
      <c r="A62" s="456" t="s">
        <v>274</v>
      </c>
      <c r="B62" s="457"/>
      <c r="C62" s="457"/>
      <c r="D62" s="457"/>
      <c r="E62" s="458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11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0">
        <v>2352780.76</v>
      </c>
      <c r="N63" s="110">
        <v>66534.3</v>
      </c>
      <c r="O63" s="110">
        <f aca="true" t="shared" si="16" ref="O63:O68">M63*30/100</f>
        <v>705834.228</v>
      </c>
      <c r="P63" s="108">
        <f aca="true" t="shared" si="17" ref="P63:P68">N63</f>
        <v>66534.3</v>
      </c>
      <c r="Q63" s="110">
        <f aca="true" t="shared" si="18" ref="Q63:Q69">(M63-O63)/3</f>
        <v>548982.1773333332</v>
      </c>
      <c r="R63" s="110">
        <f aca="true" t="shared" si="19" ref="R63:S69">Q63</f>
        <v>548982.1773333332</v>
      </c>
      <c r="S63" s="110">
        <f t="shared" si="19"/>
        <v>548982.1773333332</v>
      </c>
      <c r="T63" s="113" t="s">
        <v>314</v>
      </c>
      <c r="U63" s="36" t="s">
        <v>184</v>
      </c>
      <c r="V63" s="116">
        <f t="shared" si="1"/>
        <v>0</v>
      </c>
      <c r="W63" s="100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0">
        <v>2352780.76</v>
      </c>
      <c r="N64" s="110">
        <v>66534.3</v>
      </c>
      <c r="O64" s="110">
        <f t="shared" si="16"/>
        <v>705834.228</v>
      </c>
      <c r="P64" s="108">
        <f t="shared" si="17"/>
        <v>66534.3</v>
      </c>
      <c r="Q64" s="110">
        <f t="shared" si="18"/>
        <v>548982.1773333332</v>
      </c>
      <c r="R64" s="110">
        <f t="shared" si="19"/>
        <v>548982.1773333332</v>
      </c>
      <c r="S64" s="110">
        <f t="shared" si="19"/>
        <v>548982.1773333332</v>
      </c>
      <c r="T64" s="113" t="s">
        <v>314</v>
      </c>
      <c r="U64" s="36" t="s">
        <v>184</v>
      </c>
      <c r="V64" s="116">
        <f t="shared" si="1"/>
        <v>0</v>
      </c>
      <c r="W64" s="100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0">
        <v>11608937.94</v>
      </c>
      <c r="N65" s="110">
        <v>332671.5</v>
      </c>
      <c r="O65" s="110">
        <f t="shared" si="16"/>
        <v>3482681.3819999998</v>
      </c>
      <c r="P65" s="108">
        <f t="shared" si="17"/>
        <v>332671.5</v>
      </c>
      <c r="Q65" s="110">
        <f t="shared" si="18"/>
        <v>2708752.186</v>
      </c>
      <c r="R65" s="110">
        <f t="shared" si="19"/>
        <v>2708752.186</v>
      </c>
      <c r="S65" s="110">
        <f t="shared" si="19"/>
        <v>2708752.186</v>
      </c>
      <c r="T65" s="113" t="s">
        <v>314</v>
      </c>
      <c r="U65" s="36" t="s">
        <v>184</v>
      </c>
      <c r="V65" s="116">
        <f t="shared" si="1"/>
        <v>0</v>
      </c>
      <c r="W65" s="100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0">
        <v>16643917.7</v>
      </c>
      <c r="N66" s="110">
        <v>465740.1</v>
      </c>
      <c r="O66" s="110">
        <f t="shared" si="16"/>
        <v>4993175.31</v>
      </c>
      <c r="P66" s="108">
        <f t="shared" si="17"/>
        <v>465740.1</v>
      </c>
      <c r="Q66" s="110">
        <f t="shared" si="18"/>
        <v>3883580.796666667</v>
      </c>
      <c r="R66" s="110">
        <f t="shared" si="19"/>
        <v>3883580.796666667</v>
      </c>
      <c r="S66" s="110">
        <f t="shared" si="19"/>
        <v>3883580.796666667</v>
      </c>
      <c r="T66" s="113" t="s">
        <v>314</v>
      </c>
      <c r="U66" s="36" t="s">
        <v>184</v>
      </c>
      <c r="V66" s="116">
        <f t="shared" si="1"/>
        <v>0</v>
      </c>
      <c r="W66" s="100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0">
        <v>14198672.14</v>
      </c>
      <c r="N67" s="110">
        <v>399205.8</v>
      </c>
      <c r="O67" s="110">
        <f t="shared" si="16"/>
        <v>4259601.642000001</v>
      </c>
      <c r="P67" s="108">
        <f t="shared" si="17"/>
        <v>399205.8</v>
      </c>
      <c r="Q67" s="110">
        <f t="shared" si="18"/>
        <v>3313023.499333333</v>
      </c>
      <c r="R67" s="110">
        <f t="shared" si="19"/>
        <v>3313023.499333333</v>
      </c>
      <c r="S67" s="110">
        <f t="shared" si="19"/>
        <v>3313023.499333333</v>
      </c>
      <c r="T67" s="113" t="s">
        <v>314</v>
      </c>
      <c r="U67" s="36" t="s">
        <v>184</v>
      </c>
      <c r="V67" s="116">
        <f t="shared" si="1"/>
        <v>0</v>
      </c>
      <c r="W67" s="100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0">
        <v>4297449.08</v>
      </c>
      <c r="N68" s="110">
        <v>111047.44</v>
      </c>
      <c r="O68" s="110">
        <f t="shared" si="16"/>
        <v>1289234.7240000002</v>
      </c>
      <c r="P68" s="108">
        <f t="shared" si="17"/>
        <v>111047.44</v>
      </c>
      <c r="Q68" s="110">
        <f t="shared" si="18"/>
        <v>1002738.1186666666</v>
      </c>
      <c r="R68" s="110">
        <f t="shared" si="19"/>
        <v>1002738.1186666666</v>
      </c>
      <c r="S68" s="110">
        <f t="shared" si="19"/>
        <v>1002738.1186666666</v>
      </c>
      <c r="T68" s="113" t="s">
        <v>314</v>
      </c>
      <c r="U68" s="36" t="s">
        <v>184</v>
      </c>
      <c r="V68" s="116">
        <f t="shared" si="1"/>
        <v>0</v>
      </c>
      <c r="W68" s="100"/>
    </row>
    <row r="69" spans="1:23" s="15" customFormat="1" ht="18" customHeight="1">
      <c r="A69" s="452" t="s">
        <v>23</v>
      </c>
      <c r="B69" s="452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09">
        <f t="shared" si="20"/>
        <v>51454538.379999995</v>
      </c>
      <c r="N69" s="109">
        <f t="shared" si="20"/>
        <v>1441733.44</v>
      </c>
      <c r="O69" s="109">
        <f t="shared" si="20"/>
        <v>15436361.513999999</v>
      </c>
      <c r="P69" s="109">
        <f t="shared" si="20"/>
        <v>1441733.44</v>
      </c>
      <c r="Q69" s="109">
        <f t="shared" si="18"/>
        <v>12006058.955333332</v>
      </c>
      <c r="R69" s="109">
        <f t="shared" si="19"/>
        <v>12006058.955333332</v>
      </c>
      <c r="S69" s="109">
        <f t="shared" si="19"/>
        <v>12006058.955333332</v>
      </c>
      <c r="T69" s="105" t="s">
        <v>261</v>
      </c>
      <c r="U69" s="67" t="s">
        <v>261</v>
      </c>
      <c r="V69" s="116">
        <f t="shared" si="1"/>
        <v>0</v>
      </c>
      <c r="W69" s="93"/>
    </row>
    <row r="70" spans="1:32" s="15" customFormat="1" ht="18" customHeight="1">
      <c r="A70" s="440" t="s">
        <v>281</v>
      </c>
      <c r="B70" s="440"/>
      <c r="C70" s="440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14">
        <f t="shared" si="21"/>
        <v>51454538.379999995</v>
      </c>
      <c r="N70" s="114">
        <f t="shared" si="21"/>
        <v>1441733.44</v>
      </c>
      <c r="O70" s="114">
        <f t="shared" si="21"/>
        <v>15436361.513999999</v>
      </c>
      <c r="P70" s="114">
        <f t="shared" si="21"/>
        <v>1441733.44</v>
      </c>
      <c r="Q70" s="114">
        <f t="shared" si="21"/>
        <v>12006058.955333332</v>
      </c>
      <c r="R70" s="114">
        <f t="shared" si="21"/>
        <v>12006058.955333332</v>
      </c>
      <c r="S70" s="114">
        <f t="shared" si="21"/>
        <v>12006058.955333332</v>
      </c>
      <c r="T70" s="115" t="s">
        <v>261</v>
      </c>
      <c r="U70" s="70" t="s">
        <v>261</v>
      </c>
      <c r="V70" s="116">
        <f t="shared" si="1"/>
        <v>0</v>
      </c>
      <c r="W70" s="119">
        <f>M70-'2017'!M35</f>
        <v>0</v>
      </c>
      <c r="X70" s="119">
        <f>N70-'2017'!N35</f>
        <v>0</v>
      </c>
      <c r="Y70" s="119">
        <f>O70-'2017'!O35</f>
        <v>-5.86600000038743</v>
      </c>
      <c r="Z70" s="119">
        <f>P70-'2017'!P35</f>
        <v>0</v>
      </c>
      <c r="AA70" s="119">
        <f>Q70-'2017'!Q35</f>
        <v>1.9553333315998316</v>
      </c>
      <c r="AB70" s="119">
        <f>R70-'2017'!R35</f>
        <v>1.9553333315998316</v>
      </c>
      <c r="AC70" s="119">
        <f>S70-'2017'!S35</f>
        <v>1.9553333315998316</v>
      </c>
      <c r="AD70" s="119" t="e">
        <f>T70-'2017'!T35</f>
        <v>#VALUE!</v>
      </c>
      <c r="AE70" s="119" t="e">
        <f>U70-'2017'!U35</f>
        <v>#VALUE!</v>
      </c>
      <c r="AF70" s="119" t="e">
        <f>V70-'2017'!#REF!</f>
        <v>#REF!</v>
      </c>
    </row>
    <row r="71" spans="1:23" ht="18" customHeight="1">
      <c r="A71" s="338" t="s">
        <v>28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40"/>
      <c r="V71" s="116">
        <f t="shared" si="1"/>
        <v>0</v>
      </c>
      <c r="W71" s="88"/>
    </row>
    <row r="72" spans="1:23" ht="18" customHeight="1">
      <c r="A72" s="345" t="s">
        <v>29</v>
      </c>
      <c r="B72" s="346"/>
      <c r="C72" s="346"/>
      <c r="D72" s="346"/>
      <c r="E72" s="347"/>
      <c r="F72" s="332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4"/>
      <c r="V72" s="11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08">
        <v>4229305.78</v>
      </c>
      <c r="N73" s="108">
        <v>133097.93</v>
      </c>
      <c r="O73" s="108">
        <f aca="true" t="shared" si="22" ref="O73:O78">M73*30/100</f>
        <v>1268791.7340000002</v>
      </c>
      <c r="P73" s="108">
        <f aca="true" t="shared" si="23" ref="P73:P78">N73</f>
        <v>133097.93</v>
      </c>
      <c r="Q73" s="108">
        <f aca="true" t="shared" si="24" ref="Q73:Q78">(M73-O73)/3</f>
        <v>986838.0153333334</v>
      </c>
      <c r="R73" s="108">
        <f aca="true" t="shared" si="25" ref="R73:S79">Q73</f>
        <v>986838.0153333334</v>
      </c>
      <c r="S73" s="108">
        <f t="shared" si="25"/>
        <v>986838.0153333334</v>
      </c>
      <c r="T73" s="108">
        <v>43829</v>
      </c>
      <c r="U73" s="24" t="s">
        <v>184</v>
      </c>
      <c r="V73" s="11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08">
        <v>4100534.59</v>
      </c>
      <c r="N74" s="108">
        <v>135909.46</v>
      </c>
      <c r="O74" s="108">
        <f t="shared" si="22"/>
        <v>1230160.3769999999</v>
      </c>
      <c r="P74" s="108">
        <f t="shared" si="23"/>
        <v>135909.46</v>
      </c>
      <c r="Q74" s="108">
        <f t="shared" si="24"/>
        <v>956791.4043333334</v>
      </c>
      <c r="R74" s="108">
        <f t="shared" si="25"/>
        <v>956791.4043333334</v>
      </c>
      <c r="S74" s="108">
        <f t="shared" si="25"/>
        <v>956791.4043333334</v>
      </c>
      <c r="T74" s="108">
        <v>43829</v>
      </c>
      <c r="U74" s="24" t="s">
        <v>184</v>
      </c>
      <c r="V74" s="11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0">
        <v>2438153.76</v>
      </c>
      <c r="N75" s="110">
        <v>66534.3</v>
      </c>
      <c r="O75" s="110">
        <f t="shared" si="22"/>
        <v>731446.128</v>
      </c>
      <c r="P75" s="108">
        <f t="shared" si="23"/>
        <v>66534.3</v>
      </c>
      <c r="Q75" s="110">
        <f t="shared" si="24"/>
        <v>568902.5439999999</v>
      </c>
      <c r="R75" s="110">
        <f t="shared" si="25"/>
        <v>568902.5439999999</v>
      </c>
      <c r="S75" s="110">
        <f t="shared" si="25"/>
        <v>568902.5439999999</v>
      </c>
      <c r="T75" s="110">
        <v>43829</v>
      </c>
      <c r="U75" s="36" t="s">
        <v>184</v>
      </c>
      <c r="V75" s="116">
        <f t="shared" si="1"/>
        <v>0</v>
      </c>
      <c r="W75" s="100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0">
        <v>11762070.08</v>
      </c>
      <c r="N76" s="110">
        <v>332671.5</v>
      </c>
      <c r="O76" s="110">
        <f t="shared" si="22"/>
        <v>3528621.0239999997</v>
      </c>
      <c r="P76" s="108">
        <f t="shared" si="23"/>
        <v>332671.5</v>
      </c>
      <c r="Q76" s="110">
        <f t="shared" si="24"/>
        <v>2744483.0186666665</v>
      </c>
      <c r="R76" s="110">
        <f t="shared" si="25"/>
        <v>2744483.0186666665</v>
      </c>
      <c r="S76" s="110">
        <f t="shared" si="25"/>
        <v>2744483.0186666665</v>
      </c>
      <c r="T76" s="110">
        <v>43829</v>
      </c>
      <c r="U76" s="36" t="s">
        <v>184</v>
      </c>
      <c r="V76" s="116">
        <f t="shared" si="1"/>
        <v>0</v>
      </c>
      <c r="W76" s="100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0">
        <v>2438153.76</v>
      </c>
      <c r="N77" s="110">
        <v>66534.3</v>
      </c>
      <c r="O77" s="110">
        <f t="shared" si="22"/>
        <v>731446.128</v>
      </c>
      <c r="P77" s="108">
        <f t="shared" si="23"/>
        <v>66534.3</v>
      </c>
      <c r="Q77" s="110">
        <f t="shared" si="24"/>
        <v>568902.5439999999</v>
      </c>
      <c r="R77" s="110">
        <f t="shared" si="25"/>
        <v>568902.5439999999</v>
      </c>
      <c r="S77" s="110">
        <f t="shared" si="25"/>
        <v>568902.5439999999</v>
      </c>
      <c r="T77" s="110">
        <v>43829</v>
      </c>
      <c r="U77" s="36" t="s">
        <v>184</v>
      </c>
      <c r="V77" s="116">
        <f t="shared" si="1"/>
        <v>0</v>
      </c>
      <c r="W77" s="100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0">
        <v>9503310.54</v>
      </c>
      <c r="N78" s="110">
        <v>266137.2</v>
      </c>
      <c r="O78" s="110">
        <f t="shared" si="22"/>
        <v>2850993.162</v>
      </c>
      <c r="P78" s="108">
        <f t="shared" si="23"/>
        <v>266137.2</v>
      </c>
      <c r="Q78" s="110">
        <f t="shared" si="24"/>
        <v>2217439.1259999997</v>
      </c>
      <c r="R78" s="110">
        <f t="shared" si="25"/>
        <v>2217439.1259999997</v>
      </c>
      <c r="S78" s="110">
        <f t="shared" si="25"/>
        <v>2217439.1259999997</v>
      </c>
      <c r="T78" s="110">
        <v>43829</v>
      </c>
      <c r="U78" s="36" t="s">
        <v>184</v>
      </c>
      <c r="V78" s="116">
        <f aca="true" t="shared" si="26" ref="V78:V141">M78+N78-O78-P78-Q78-R78-S78</f>
        <v>0</v>
      </c>
      <c r="W78" s="100"/>
    </row>
    <row r="79" spans="1:23" ht="18" customHeight="1">
      <c r="A79" s="426" t="s">
        <v>23</v>
      </c>
      <c r="B79" s="427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09">
        <f t="shared" si="27"/>
        <v>34471528.51</v>
      </c>
      <c r="N79" s="109">
        <f t="shared" si="27"/>
        <v>1000884.69</v>
      </c>
      <c r="O79" s="109">
        <f t="shared" si="27"/>
        <v>10341458.553000001</v>
      </c>
      <c r="P79" s="109">
        <f t="shared" si="27"/>
        <v>1000884.69</v>
      </c>
      <c r="Q79" s="109">
        <f t="shared" si="27"/>
        <v>8043356.652333332</v>
      </c>
      <c r="R79" s="109">
        <f t="shared" si="25"/>
        <v>8043356.652333332</v>
      </c>
      <c r="S79" s="109">
        <f t="shared" si="25"/>
        <v>8043356.652333332</v>
      </c>
      <c r="T79" s="109" t="s">
        <v>261</v>
      </c>
      <c r="U79" s="6" t="s">
        <v>261</v>
      </c>
      <c r="V79" s="116">
        <f t="shared" si="26"/>
        <v>0</v>
      </c>
      <c r="W79" s="91"/>
    </row>
    <row r="80" spans="1:28" s="15" customFormat="1" ht="18" customHeight="1">
      <c r="A80" s="428" t="s">
        <v>30</v>
      </c>
      <c r="B80" s="429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11">
        <f aca="true" t="shared" si="28" ref="M80:S80">M79</f>
        <v>34471528.51</v>
      </c>
      <c r="N80" s="111">
        <f t="shared" si="28"/>
        <v>1000884.69</v>
      </c>
      <c r="O80" s="111">
        <f t="shared" si="28"/>
        <v>10341458.553000001</v>
      </c>
      <c r="P80" s="111">
        <f t="shared" si="28"/>
        <v>1000884.69</v>
      </c>
      <c r="Q80" s="111">
        <f t="shared" si="28"/>
        <v>8043356.652333332</v>
      </c>
      <c r="R80" s="111">
        <f t="shared" si="28"/>
        <v>8043356.652333332</v>
      </c>
      <c r="S80" s="111">
        <f t="shared" si="28"/>
        <v>8043356.652333332</v>
      </c>
      <c r="T80" s="111" t="s">
        <v>261</v>
      </c>
      <c r="U80" s="12" t="s">
        <v>261</v>
      </c>
      <c r="V80" s="116">
        <f t="shared" si="26"/>
        <v>0</v>
      </c>
      <c r="W80" s="117" t="e">
        <f>M80-'раздел 1 2020'!#REF!-'2017'!M43</f>
        <v>#REF!</v>
      </c>
      <c r="X80" s="117" t="e">
        <f>N80-'раздел 1 2020'!#REF!-'2017'!N43</f>
        <v>#REF!</v>
      </c>
      <c r="Y80" s="117" t="e">
        <f>O80-'раздел 1 2020'!#REF!-'2017'!O43</f>
        <v>#REF!</v>
      </c>
      <c r="Z80" s="117" t="e">
        <f>P80-'раздел 1 2020'!#REF!-'2017'!P43</f>
        <v>#REF!</v>
      </c>
      <c r="AA80" s="117" t="e">
        <f>Q80-'раздел 1 2020'!#REF!-'2017'!Q43</f>
        <v>#REF!</v>
      </c>
      <c r="AB80" s="117" t="e">
        <f>R80-'раздел 1 2020'!#REF!-'2017'!R43</f>
        <v>#REF!</v>
      </c>
    </row>
    <row r="81" spans="1:23" ht="18" customHeight="1">
      <c r="A81" s="338" t="s">
        <v>31</v>
      </c>
      <c r="B81" s="339"/>
      <c r="C81" s="339"/>
      <c r="D81" s="339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40"/>
      <c r="V81" s="116">
        <f t="shared" si="26"/>
        <v>0</v>
      </c>
      <c r="W81" s="88"/>
    </row>
    <row r="82" spans="1:23" ht="18" customHeight="1">
      <c r="A82" s="345" t="s">
        <v>32</v>
      </c>
      <c r="B82" s="346"/>
      <c r="C82" s="346"/>
      <c r="D82" s="346"/>
      <c r="E82" s="347"/>
      <c r="F82" s="332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4"/>
      <c r="V82" s="11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08">
        <v>3546491.08</v>
      </c>
      <c r="N83" s="108">
        <v>107794.18</v>
      </c>
      <c r="O83" s="108">
        <f>M83*30/100</f>
        <v>1063947.324</v>
      </c>
      <c r="P83" s="108">
        <f>N83</f>
        <v>107794.18</v>
      </c>
      <c r="Q83" s="108">
        <f aca="true" t="shared" si="29" ref="Q83:Q102">(M83-O83)/3</f>
        <v>827514.5853333334</v>
      </c>
      <c r="R83" s="108">
        <f aca="true" t="shared" si="30" ref="R83:S85">Q83</f>
        <v>827514.5853333334</v>
      </c>
      <c r="S83" s="108">
        <f t="shared" si="30"/>
        <v>827514.5853333334</v>
      </c>
      <c r="T83" s="108">
        <v>43829</v>
      </c>
      <c r="U83" s="24" t="s">
        <v>184</v>
      </c>
      <c r="V83" s="11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08">
        <v>6290302.13</v>
      </c>
      <c r="N84" s="108">
        <v>203596.02</v>
      </c>
      <c r="O84" s="108">
        <f>M84*30/100</f>
        <v>1887090.639</v>
      </c>
      <c r="P84" s="108">
        <f>N84</f>
        <v>203596.02</v>
      </c>
      <c r="Q84" s="108">
        <f t="shared" si="29"/>
        <v>1467737.1636666667</v>
      </c>
      <c r="R84" s="108">
        <f t="shared" si="30"/>
        <v>1467737.1636666667</v>
      </c>
      <c r="S84" s="108">
        <f t="shared" si="30"/>
        <v>1467737.1636666667</v>
      </c>
      <c r="T84" s="108">
        <v>43829</v>
      </c>
      <c r="U84" s="24" t="s">
        <v>184</v>
      </c>
      <c r="V84" s="11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0">
        <v>2340928.84</v>
      </c>
      <c r="N85" s="110">
        <v>66534.3</v>
      </c>
      <c r="O85" s="110">
        <f>M85*30/100</f>
        <v>702278.6519999999</v>
      </c>
      <c r="P85" s="108">
        <f>N85</f>
        <v>66534.3</v>
      </c>
      <c r="Q85" s="110">
        <f t="shared" si="29"/>
        <v>546216.7293333333</v>
      </c>
      <c r="R85" s="110">
        <f t="shared" si="30"/>
        <v>546216.7293333333</v>
      </c>
      <c r="S85" s="110">
        <f t="shared" si="30"/>
        <v>546216.7293333333</v>
      </c>
      <c r="T85" s="110">
        <v>43829</v>
      </c>
      <c r="U85" s="36" t="s">
        <v>184</v>
      </c>
      <c r="V85" s="116">
        <f t="shared" si="26"/>
        <v>0</v>
      </c>
    </row>
    <row r="86" spans="1:22" ht="18" customHeight="1">
      <c r="A86" s="426" t="s">
        <v>23</v>
      </c>
      <c r="B86" s="427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09">
        <f t="shared" si="31"/>
        <v>12177722.05</v>
      </c>
      <c r="N86" s="109">
        <f aca="true" t="shared" si="32" ref="N86:S86">SUM(N83:N85)</f>
        <v>377924.49999999994</v>
      </c>
      <c r="O86" s="109">
        <f t="shared" si="32"/>
        <v>3653316.6149999998</v>
      </c>
      <c r="P86" s="109">
        <f t="shared" si="32"/>
        <v>377924.49999999994</v>
      </c>
      <c r="Q86" s="109">
        <f t="shared" si="32"/>
        <v>2841468.478333333</v>
      </c>
      <c r="R86" s="109">
        <f t="shared" si="32"/>
        <v>2841468.478333333</v>
      </c>
      <c r="S86" s="109">
        <f t="shared" si="32"/>
        <v>2841468.478333333</v>
      </c>
      <c r="T86" s="109" t="s">
        <v>261</v>
      </c>
      <c r="U86" s="6" t="s">
        <v>261</v>
      </c>
      <c r="V86" s="116">
        <f t="shared" si="26"/>
        <v>0</v>
      </c>
    </row>
    <row r="87" spans="1:23" ht="18" customHeight="1">
      <c r="A87" s="345" t="s">
        <v>33</v>
      </c>
      <c r="B87" s="346"/>
      <c r="C87" s="346"/>
      <c r="D87" s="346"/>
      <c r="E87" s="347"/>
      <c r="F87" s="332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4"/>
      <c r="V87" s="116">
        <f t="shared" si="26"/>
        <v>0</v>
      </c>
      <c r="W87" s="91"/>
    </row>
    <row r="88" spans="1:23" ht="18" customHeight="1">
      <c r="A88" s="32">
        <f>A85+1</f>
        <v>52</v>
      </c>
      <c r="B88" s="73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09">
        <v>9391994.06</v>
      </c>
      <c r="N88" s="109">
        <v>266137.2</v>
      </c>
      <c r="O88" s="110">
        <f aca="true" t="shared" si="33" ref="O88:O93">M88*30/100</f>
        <v>2817598.2180000003</v>
      </c>
      <c r="P88" s="108">
        <f aca="true" t="shared" si="34" ref="P88:P93">N88</f>
        <v>266137.2</v>
      </c>
      <c r="Q88" s="110">
        <f t="shared" si="29"/>
        <v>2191465.2806666666</v>
      </c>
      <c r="R88" s="110">
        <f aca="true" t="shared" si="35" ref="R88:S93">Q88</f>
        <v>2191465.2806666666</v>
      </c>
      <c r="S88" s="110">
        <f t="shared" si="35"/>
        <v>2191465.2806666666</v>
      </c>
      <c r="T88" s="110">
        <v>43829</v>
      </c>
      <c r="U88" s="36" t="s">
        <v>184</v>
      </c>
      <c r="V88" s="116">
        <f t="shared" si="26"/>
        <v>0</v>
      </c>
      <c r="W88" s="100"/>
    </row>
    <row r="89" spans="1:23" ht="18" customHeight="1">
      <c r="A89" s="32">
        <f>A88+1</f>
        <v>53</v>
      </c>
      <c r="B89" s="73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09">
        <v>2461653.46</v>
      </c>
      <c r="N89" s="109">
        <v>66534.3</v>
      </c>
      <c r="O89" s="110">
        <f t="shared" si="33"/>
        <v>738496.038</v>
      </c>
      <c r="P89" s="108">
        <f t="shared" si="34"/>
        <v>66534.3</v>
      </c>
      <c r="Q89" s="110">
        <f t="shared" si="29"/>
        <v>574385.8073333333</v>
      </c>
      <c r="R89" s="110">
        <f t="shared" si="35"/>
        <v>574385.8073333333</v>
      </c>
      <c r="S89" s="110">
        <f t="shared" si="35"/>
        <v>574385.8073333333</v>
      </c>
      <c r="T89" s="110">
        <v>43829</v>
      </c>
      <c r="U89" s="36" t="s">
        <v>184</v>
      </c>
      <c r="V89" s="116">
        <f t="shared" si="26"/>
        <v>0</v>
      </c>
      <c r="W89" s="100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08">
        <v>2794717.9</v>
      </c>
      <c r="N90" s="108">
        <v>74793.12</v>
      </c>
      <c r="O90" s="108">
        <f t="shared" si="33"/>
        <v>838415.37</v>
      </c>
      <c r="P90" s="108">
        <f t="shared" si="34"/>
        <v>74793.12</v>
      </c>
      <c r="Q90" s="108">
        <f t="shared" si="29"/>
        <v>652100.8433333333</v>
      </c>
      <c r="R90" s="108">
        <f t="shared" si="35"/>
        <v>652100.8433333333</v>
      </c>
      <c r="S90" s="108">
        <f t="shared" si="35"/>
        <v>652100.8433333333</v>
      </c>
      <c r="T90" s="108">
        <v>43829</v>
      </c>
      <c r="U90" s="24" t="s">
        <v>184</v>
      </c>
      <c r="V90" s="11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08">
        <v>2794717.9</v>
      </c>
      <c r="N91" s="108">
        <v>74793.12</v>
      </c>
      <c r="O91" s="108">
        <f t="shared" si="33"/>
        <v>838415.37</v>
      </c>
      <c r="P91" s="108">
        <f t="shared" si="34"/>
        <v>74793.12</v>
      </c>
      <c r="Q91" s="108">
        <f t="shared" si="29"/>
        <v>652100.8433333333</v>
      </c>
      <c r="R91" s="108">
        <f t="shared" si="35"/>
        <v>652100.8433333333</v>
      </c>
      <c r="S91" s="108">
        <f t="shared" si="35"/>
        <v>652100.8433333333</v>
      </c>
      <c r="T91" s="108">
        <v>43829</v>
      </c>
      <c r="U91" s="24" t="s">
        <v>184</v>
      </c>
      <c r="V91" s="11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08">
        <v>2794717.9</v>
      </c>
      <c r="N92" s="108">
        <v>74793.12</v>
      </c>
      <c r="O92" s="108">
        <f t="shared" si="33"/>
        <v>838415.37</v>
      </c>
      <c r="P92" s="108">
        <f t="shared" si="34"/>
        <v>74793.12</v>
      </c>
      <c r="Q92" s="108">
        <f t="shared" si="29"/>
        <v>652100.8433333333</v>
      </c>
      <c r="R92" s="108">
        <f t="shared" si="35"/>
        <v>652100.8433333333</v>
      </c>
      <c r="S92" s="108">
        <f t="shared" si="35"/>
        <v>652100.8433333333</v>
      </c>
      <c r="T92" s="108">
        <v>43829</v>
      </c>
      <c r="U92" s="24" t="s">
        <v>184</v>
      </c>
      <c r="V92" s="11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08">
        <v>2794717.9</v>
      </c>
      <c r="N93" s="108">
        <v>74793.12</v>
      </c>
      <c r="O93" s="108">
        <f t="shared" si="33"/>
        <v>838415.37</v>
      </c>
      <c r="P93" s="108">
        <f t="shared" si="34"/>
        <v>74793.12</v>
      </c>
      <c r="Q93" s="108">
        <f t="shared" si="29"/>
        <v>652100.8433333333</v>
      </c>
      <c r="R93" s="108">
        <f t="shared" si="35"/>
        <v>652100.8433333333</v>
      </c>
      <c r="S93" s="108">
        <f t="shared" si="35"/>
        <v>652100.8433333333</v>
      </c>
      <c r="T93" s="108">
        <v>43829</v>
      </c>
      <c r="U93" s="24" t="s">
        <v>184</v>
      </c>
      <c r="V93" s="116">
        <f t="shared" si="26"/>
        <v>0</v>
      </c>
      <c r="W93" s="90"/>
      <c r="X93" s="4"/>
    </row>
    <row r="94" spans="1:23" ht="18" customHeight="1">
      <c r="A94" s="426" t="s">
        <v>23</v>
      </c>
      <c r="B94" s="427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09">
        <f t="shared" si="36"/>
        <v>23032519.119999997</v>
      </c>
      <c r="N94" s="109">
        <f aca="true" t="shared" si="37" ref="N94:S94">SUM(N88:N93)</f>
        <v>631843.98</v>
      </c>
      <c r="O94" s="109">
        <f t="shared" si="37"/>
        <v>6909755.7360000005</v>
      </c>
      <c r="P94" s="109">
        <f t="shared" si="37"/>
        <v>631843.98</v>
      </c>
      <c r="Q94" s="109">
        <f t="shared" si="37"/>
        <v>5374254.461333333</v>
      </c>
      <c r="R94" s="109">
        <f t="shared" si="37"/>
        <v>5374254.461333333</v>
      </c>
      <c r="S94" s="109">
        <f t="shared" si="37"/>
        <v>5374254.461333333</v>
      </c>
      <c r="T94" s="109" t="s">
        <v>261</v>
      </c>
      <c r="U94" s="6" t="s">
        <v>261</v>
      </c>
      <c r="V94" s="116">
        <f t="shared" si="26"/>
        <v>0</v>
      </c>
      <c r="W94" s="91"/>
    </row>
    <row r="95" spans="1:23" ht="18" customHeight="1">
      <c r="A95" s="345" t="s">
        <v>44</v>
      </c>
      <c r="B95" s="346"/>
      <c r="C95" s="346"/>
      <c r="D95" s="346"/>
      <c r="E95" s="347"/>
      <c r="F95" s="332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4"/>
      <c r="V95" s="11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0">
        <v>11779839.7</v>
      </c>
      <c r="N96" s="110">
        <v>332671.5</v>
      </c>
      <c r="O96" s="110">
        <f aca="true" t="shared" si="38" ref="O96:O102">M96*30/100</f>
        <v>3533951.91</v>
      </c>
      <c r="P96" s="108">
        <f aca="true" t="shared" si="39" ref="P96:P102">N96</f>
        <v>332671.5</v>
      </c>
      <c r="Q96" s="110">
        <f t="shared" si="29"/>
        <v>2748629.263333333</v>
      </c>
      <c r="R96" s="110">
        <f aca="true" t="shared" si="40" ref="R96:S102">Q96</f>
        <v>2748629.263333333</v>
      </c>
      <c r="S96" s="110">
        <f t="shared" si="40"/>
        <v>2748629.263333333</v>
      </c>
      <c r="T96" s="110">
        <v>43829</v>
      </c>
      <c r="U96" s="36" t="s">
        <v>184</v>
      </c>
      <c r="V96" s="116">
        <f t="shared" si="26"/>
        <v>0</v>
      </c>
      <c r="W96" s="100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0">
        <v>11795603.32</v>
      </c>
      <c r="N97" s="110">
        <v>332671.5</v>
      </c>
      <c r="O97" s="110">
        <f t="shared" si="38"/>
        <v>3538680.9960000003</v>
      </c>
      <c r="P97" s="108">
        <f t="shared" si="39"/>
        <v>332671.5</v>
      </c>
      <c r="Q97" s="110">
        <f t="shared" si="29"/>
        <v>2752307.4413333335</v>
      </c>
      <c r="R97" s="110">
        <f t="shared" si="40"/>
        <v>2752307.4413333335</v>
      </c>
      <c r="S97" s="110">
        <f t="shared" si="40"/>
        <v>2752307.4413333335</v>
      </c>
      <c r="T97" s="110">
        <v>43829</v>
      </c>
      <c r="U97" s="36" t="s">
        <v>184</v>
      </c>
      <c r="V97" s="116">
        <f t="shared" si="26"/>
        <v>0</v>
      </c>
      <c r="W97" s="100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0">
        <v>4274966.54</v>
      </c>
      <c r="N98" s="110">
        <v>111047.44</v>
      </c>
      <c r="O98" s="110">
        <f t="shared" si="38"/>
        <v>1282489.962</v>
      </c>
      <c r="P98" s="108">
        <f t="shared" si="39"/>
        <v>111047.44</v>
      </c>
      <c r="Q98" s="110">
        <f t="shared" si="29"/>
        <v>997492.1926666666</v>
      </c>
      <c r="R98" s="110">
        <f t="shared" si="40"/>
        <v>997492.1926666666</v>
      </c>
      <c r="S98" s="110">
        <f t="shared" si="40"/>
        <v>997492.1926666666</v>
      </c>
      <c r="T98" s="110">
        <v>43829</v>
      </c>
      <c r="U98" s="36" t="s">
        <v>184</v>
      </c>
      <c r="V98" s="116">
        <f t="shared" si="26"/>
        <v>0</v>
      </c>
      <c r="W98" s="100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0">
        <v>16517667.139999997</v>
      </c>
      <c r="N99" s="110">
        <v>465740.1</v>
      </c>
      <c r="O99" s="110">
        <f t="shared" si="38"/>
        <v>4955300.141999999</v>
      </c>
      <c r="P99" s="108">
        <f t="shared" si="39"/>
        <v>465740.1</v>
      </c>
      <c r="Q99" s="110">
        <f t="shared" si="29"/>
        <v>3854122.332666666</v>
      </c>
      <c r="R99" s="110">
        <f t="shared" si="40"/>
        <v>3854122.332666666</v>
      </c>
      <c r="S99" s="110">
        <f t="shared" si="40"/>
        <v>3854122.332666666</v>
      </c>
      <c r="T99" s="110">
        <v>43829</v>
      </c>
      <c r="U99" s="36" t="s">
        <v>184</v>
      </c>
      <c r="V99" s="116">
        <f t="shared" si="26"/>
        <v>0</v>
      </c>
      <c r="W99" s="100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09">
        <v>4642281.66</v>
      </c>
      <c r="N100" s="109">
        <v>122059.2</v>
      </c>
      <c r="O100" s="110">
        <f t="shared" si="38"/>
        <v>1392684.4980000001</v>
      </c>
      <c r="P100" s="108">
        <f t="shared" si="39"/>
        <v>122059.2</v>
      </c>
      <c r="Q100" s="110">
        <f t="shared" si="29"/>
        <v>1083199.054</v>
      </c>
      <c r="R100" s="110">
        <f t="shared" si="40"/>
        <v>1083199.054</v>
      </c>
      <c r="S100" s="110">
        <f t="shared" si="40"/>
        <v>1083199.054</v>
      </c>
      <c r="T100" s="110">
        <v>43829</v>
      </c>
      <c r="U100" s="36" t="s">
        <v>184</v>
      </c>
      <c r="V100" s="11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08">
        <v>14573009.36</v>
      </c>
      <c r="N101" s="108">
        <v>475683.11</v>
      </c>
      <c r="O101" s="108">
        <f t="shared" si="38"/>
        <v>4371902.807999999</v>
      </c>
      <c r="P101" s="108">
        <f t="shared" si="39"/>
        <v>475683.11</v>
      </c>
      <c r="Q101" s="108">
        <f t="shared" si="29"/>
        <v>3400368.850666667</v>
      </c>
      <c r="R101" s="108">
        <f t="shared" si="40"/>
        <v>3400368.850666667</v>
      </c>
      <c r="S101" s="108">
        <f t="shared" si="40"/>
        <v>3400368.850666667</v>
      </c>
      <c r="T101" s="108">
        <v>43829</v>
      </c>
      <c r="U101" s="24" t="s">
        <v>184</v>
      </c>
      <c r="V101" s="11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08">
        <v>10294816.68</v>
      </c>
      <c r="N102" s="108">
        <v>339326.7</v>
      </c>
      <c r="O102" s="108">
        <f t="shared" si="38"/>
        <v>3088445.0039999997</v>
      </c>
      <c r="P102" s="108">
        <f t="shared" si="39"/>
        <v>339326.7</v>
      </c>
      <c r="Q102" s="108">
        <f t="shared" si="29"/>
        <v>2402123.892</v>
      </c>
      <c r="R102" s="108">
        <f t="shared" si="40"/>
        <v>2402123.892</v>
      </c>
      <c r="S102" s="108">
        <f t="shared" si="40"/>
        <v>2402123.892</v>
      </c>
      <c r="T102" s="108">
        <v>43829</v>
      </c>
      <c r="U102" s="24" t="s">
        <v>184</v>
      </c>
      <c r="V102" s="116">
        <f t="shared" si="26"/>
        <v>0</v>
      </c>
      <c r="W102" s="90"/>
    </row>
    <row r="103" spans="1:23" ht="18" customHeight="1">
      <c r="A103" s="426" t="s">
        <v>23</v>
      </c>
      <c r="B103" s="427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09">
        <f t="shared" si="42"/>
        <v>73878184.4</v>
      </c>
      <c r="N103" s="109">
        <f aca="true" t="shared" si="43" ref="N103:S103">SUM(N96:N102)</f>
        <v>2179199.5500000003</v>
      </c>
      <c r="O103" s="109">
        <f t="shared" si="43"/>
        <v>22163455.32</v>
      </c>
      <c r="P103" s="109">
        <f t="shared" si="43"/>
        <v>2179199.5500000003</v>
      </c>
      <c r="Q103" s="109">
        <f t="shared" si="43"/>
        <v>17238243.026666664</v>
      </c>
      <c r="R103" s="109">
        <f t="shared" si="43"/>
        <v>17238243.026666664</v>
      </c>
      <c r="S103" s="109">
        <f t="shared" si="43"/>
        <v>17238243.026666664</v>
      </c>
      <c r="T103" s="109" t="s">
        <v>261</v>
      </c>
      <c r="U103" s="6" t="s">
        <v>261</v>
      </c>
      <c r="V103" s="11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11">
        <f aca="true" t="shared" si="44" ref="M104:S104">M103+M94+M86</f>
        <v>109088425.57000001</v>
      </c>
      <c r="N104" s="111">
        <f t="shared" si="44"/>
        <v>3188968.0300000003</v>
      </c>
      <c r="O104" s="111">
        <f t="shared" si="44"/>
        <v>32726527.671</v>
      </c>
      <c r="P104" s="111">
        <f t="shared" si="44"/>
        <v>3188968.0300000003</v>
      </c>
      <c r="Q104" s="111">
        <f t="shared" si="44"/>
        <v>25453965.96633333</v>
      </c>
      <c r="R104" s="111">
        <f t="shared" si="44"/>
        <v>25453965.96633333</v>
      </c>
      <c r="S104" s="111">
        <f t="shared" si="44"/>
        <v>25453965.96633333</v>
      </c>
      <c r="T104" s="111" t="s">
        <v>261</v>
      </c>
      <c r="U104" s="12" t="s">
        <v>261</v>
      </c>
      <c r="V104" s="116">
        <f t="shared" si="26"/>
        <v>0</v>
      </c>
      <c r="W104" s="120" t="e">
        <f>M104-'2017'!M59-'раздел 1 2020'!#REF!</f>
        <v>#REF!</v>
      </c>
      <c r="X104" s="120" t="e">
        <f>N104-'2017'!N59-'раздел 1 2020'!#REF!</f>
        <v>#REF!</v>
      </c>
      <c r="Y104" s="120" t="e">
        <f>O104-'2017'!O59-'раздел 1 2020'!#REF!</f>
        <v>#REF!</v>
      </c>
      <c r="Z104" s="120" t="e">
        <f>P104-'2017'!P59-'раздел 1 2020'!#REF!</f>
        <v>#REF!</v>
      </c>
      <c r="AA104" s="120" t="e">
        <f>Q104-'2017'!Q59-'раздел 1 2020'!#REF!</f>
        <v>#REF!</v>
      </c>
      <c r="AB104" s="120" t="e">
        <f>R104-'2017'!R59-'раздел 1 2020'!#REF!</f>
        <v>#REF!</v>
      </c>
      <c r="AC104" s="120" t="e">
        <f>S104-'2017'!S59-'раздел 1 2020'!#REF!</f>
        <v>#REF!</v>
      </c>
      <c r="AD104" s="120" t="e">
        <f>T104-'2017'!T59-'раздел 1 2020'!#REF!</f>
        <v>#VALUE!</v>
      </c>
      <c r="AE104" s="120" t="e">
        <f>U86-'2017'!U59-'раздел 1 2020'!#REF!</f>
        <v>#VALUE!</v>
      </c>
      <c r="AF104" s="120" t="e">
        <f>V86-'2017'!#REF!-'раздел 1 2020'!#REF!</f>
        <v>#REF!</v>
      </c>
    </row>
    <row r="105" spans="1:23" ht="18" customHeight="1">
      <c r="A105" s="338" t="s">
        <v>35</v>
      </c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40"/>
      <c r="V105" s="116">
        <f t="shared" si="26"/>
        <v>0</v>
      </c>
      <c r="W105" s="88"/>
    </row>
    <row r="106" spans="1:23" ht="18" customHeight="1">
      <c r="A106" s="345" t="s">
        <v>36</v>
      </c>
      <c r="B106" s="346"/>
      <c r="C106" s="346"/>
      <c r="D106" s="346"/>
      <c r="E106" s="347"/>
      <c r="F106" s="332"/>
      <c r="G106" s="333"/>
      <c r="H106" s="333"/>
      <c r="I106" s="333"/>
      <c r="J106" s="333"/>
      <c r="K106" s="333"/>
      <c r="L106" s="333"/>
      <c r="M106" s="333"/>
      <c r="N106" s="333"/>
      <c r="O106" s="333"/>
      <c r="P106" s="333"/>
      <c r="Q106" s="333"/>
      <c r="R106" s="333"/>
      <c r="S106" s="333"/>
      <c r="T106" s="333"/>
      <c r="U106" s="334"/>
      <c r="V106" s="11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08">
        <f>2079641.89</f>
        <v>2079641.89</v>
      </c>
      <c r="N107" s="108">
        <v>67594.73</v>
      </c>
      <c r="O107" s="108">
        <f aca="true" t="shared" si="45" ref="O107:O113">M107*30/100</f>
        <v>623892.5669999999</v>
      </c>
      <c r="P107" s="108">
        <f aca="true" t="shared" si="46" ref="P107:P113">N107</f>
        <v>67594.73</v>
      </c>
      <c r="Q107" s="108">
        <f aca="true" t="shared" si="47" ref="Q107:Q113">(M107-O107)/3</f>
        <v>485249.7743333333</v>
      </c>
      <c r="R107" s="108">
        <f aca="true" t="shared" si="48" ref="R107:S113">Q107</f>
        <v>485249.7743333333</v>
      </c>
      <c r="S107" s="108">
        <f t="shared" si="48"/>
        <v>485249.7743333333</v>
      </c>
      <c r="T107" s="108">
        <v>43829</v>
      </c>
      <c r="U107" s="24" t="s">
        <v>184</v>
      </c>
      <c r="V107" s="11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08">
        <f>2112589.4</f>
        <v>2112589.4</v>
      </c>
      <c r="N108" s="108">
        <v>65143.08</v>
      </c>
      <c r="O108" s="108">
        <f t="shared" si="45"/>
        <v>633776.82</v>
      </c>
      <c r="P108" s="108">
        <f t="shared" si="46"/>
        <v>65143.08</v>
      </c>
      <c r="Q108" s="108">
        <f t="shared" si="47"/>
        <v>492937.5266666667</v>
      </c>
      <c r="R108" s="108">
        <f t="shared" si="48"/>
        <v>492937.5266666667</v>
      </c>
      <c r="S108" s="108">
        <f t="shared" si="48"/>
        <v>492937.5266666667</v>
      </c>
      <c r="T108" s="108">
        <v>43829</v>
      </c>
      <c r="U108" s="24" t="s">
        <v>184</v>
      </c>
      <c r="V108" s="11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08">
        <v>6036380.61</v>
      </c>
      <c r="N109" s="108">
        <v>195429.24</v>
      </c>
      <c r="O109" s="108">
        <f t="shared" si="45"/>
        <v>1810914.1830000002</v>
      </c>
      <c r="P109" s="108">
        <f t="shared" si="46"/>
        <v>195429.24</v>
      </c>
      <c r="Q109" s="108">
        <f t="shared" si="47"/>
        <v>1408488.8090000001</v>
      </c>
      <c r="R109" s="108">
        <f t="shared" si="48"/>
        <v>1408488.8090000001</v>
      </c>
      <c r="S109" s="108">
        <f t="shared" si="48"/>
        <v>1408488.8090000001</v>
      </c>
      <c r="T109" s="108">
        <v>43829</v>
      </c>
      <c r="U109" s="24" t="s">
        <v>184</v>
      </c>
      <c r="V109" s="11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08">
        <v>5981712.97</v>
      </c>
      <c r="N110" s="108">
        <v>195429.24</v>
      </c>
      <c r="O110" s="108">
        <f t="shared" si="45"/>
        <v>1794513.8909999998</v>
      </c>
      <c r="P110" s="108">
        <f t="shared" si="46"/>
        <v>195429.24</v>
      </c>
      <c r="Q110" s="108">
        <f t="shared" si="47"/>
        <v>1395733.0263333332</v>
      </c>
      <c r="R110" s="108">
        <f t="shared" si="48"/>
        <v>1395733.0263333332</v>
      </c>
      <c r="S110" s="108">
        <f t="shared" si="48"/>
        <v>1395733.0263333332</v>
      </c>
      <c r="T110" s="108">
        <v>43829</v>
      </c>
      <c r="U110" s="24" t="s">
        <v>184</v>
      </c>
      <c r="V110" s="11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08">
        <v>4132901.12</v>
      </c>
      <c r="N111" s="108">
        <v>130286.16</v>
      </c>
      <c r="O111" s="108">
        <f t="shared" si="45"/>
        <v>1239870.3360000001</v>
      </c>
      <c r="P111" s="108">
        <f t="shared" si="46"/>
        <v>130286.16</v>
      </c>
      <c r="Q111" s="108">
        <f t="shared" si="47"/>
        <v>964343.5946666667</v>
      </c>
      <c r="R111" s="108">
        <f t="shared" si="48"/>
        <v>964343.5946666667</v>
      </c>
      <c r="S111" s="108">
        <f t="shared" si="48"/>
        <v>964343.5946666667</v>
      </c>
      <c r="T111" s="108">
        <v>43829</v>
      </c>
      <c r="U111" s="24" t="s">
        <v>184</v>
      </c>
      <c r="V111" s="11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08">
        <v>4210501.96</v>
      </c>
      <c r="N112" s="108">
        <v>130286.16</v>
      </c>
      <c r="O112" s="108">
        <f t="shared" si="45"/>
        <v>1263150.588</v>
      </c>
      <c r="P112" s="108">
        <f t="shared" si="46"/>
        <v>130286.16</v>
      </c>
      <c r="Q112" s="108">
        <f t="shared" si="47"/>
        <v>982450.4573333333</v>
      </c>
      <c r="R112" s="108">
        <f t="shared" si="48"/>
        <v>982450.4573333333</v>
      </c>
      <c r="S112" s="108">
        <f t="shared" si="48"/>
        <v>982450.4573333333</v>
      </c>
      <c r="T112" s="108">
        <v>43829</v>
      </c>
      <c r="U112" s="24" t="s">
        <v>184</v>
      </c>
      <c r="V112" s="11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08">
        <v>4181000.03</v>
      </c>
      <c r="N113" s="108">
        <v>135730.68</v>
      </c>
      <c r="O113" s="108">
        <f t="shared" si="45"/>
        <v>1254300.0089999998</v>
      </c>
      <c r="P113" s="108">
        <f t="shared" si="46"/>
        <v>135730.68</v>
      </c>
      <c r="Q113" s="108">
        <f t="shared" si="47"/>
        <v>975566.6736666666</v>
      </c>
      <c r="R113" s="108">
        <f t="shared" si="48"/>
        <v>975566.6736666666</v>
      </c>
      <c r="S113" s="108">
        <f t="shared" si="48"/>
        <v>975566.6736666666</v>
      </c>
      <c r="T113" s="108">
        <v>43829</v>
      </c>
      <c r="U113" s="24" t="s">
        <v>184</v>
      </c>
      <c r="V113" s="116">
        <f t="shared" si="26"/>
        <v>0</v>
      </c>
      <c r="W113" s="90"/>
    </row>
    <row r="114" spans="1:23" ht="18" customHeight="1">
      <c r="A114" s="426" t="s">
        <v>23</v>
      </c>
      <c r="B114" s="427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09">
        <f t="shared" si="50"/>
        <v>28734727.980000004</v>
      </c>
      <c r="N114" s="109">
        <f aca="true" t="shared" si="51" ref="N114:S114">SUM(N107:N113)</f>
        <v>919899.29</v>
      </c>
      <c r="O114" s="109">
        <f t="shared" si="51"/>
        <v>8620418.394</v>
      </c>
      <c r="P114" s="109">
        <f t="shared" si="51"/>
        <v>919899.29</v>
      </c>
      <c r="Q114" s="109">
        <f t="shared" si="51"/>
        <v>6704769.861999999</v>
      </c>
      <c r="R114" s="109">
        <f t="shared" si="51"/>
        <v>6704769.861999999</v>
      </c>
      <c r="S114" s="109">
        <f t="shared" si="51"/>
        <v>6704769.861999999</v>
      </c>
      <c r="T114" s="109" t="s">
        <v>261</v>
      </c>
      <c r="U114" s="6" t="s">
        <v>261</v>
      </c>
      <c r="V114" s="116">
        <f t="shared" si="26"/>
        <v>0</v>
      </c>
      <c r="W114" s="91"/>
    </row>
    <row r="115" spans="1:33" s="15" customFormat="1" ht="18" customHeight="1">
      <c r="A115" s="428" t="s">
        <v>37</v>
      </c>
      <c r="B115" s="429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11">
        <f aca="true" t="shared" si="52" ref="M115:S115">M114</f>
        <v>28734727.980000004</v>
      </c>
      <c r="N115" s="111">
        <f t="shared" si="52"/>
        <v>919899.29</v>
      </c>
      <c r="O115" s="111">
        <f t="shared" si="52"/>
        <v>8620418.394</v>
      </c>
      <c r="P115" s="111">
        <f t="shared" si="52"/>
        <v>919899.29</v>
      </c>
      <c r="Q115" s="111">
        <f t="shared" si="52"/>
        <v>6704769.861999999</v>
      </c>
      <c r="R115" s="111">
        <f t="shared" si="52"/>
        <v>6704769.861999999</v>
      </c>
      <c r="S115" s="111">
        <f t="shared" si="52"/>
        <v>6704769.861999999</v>
      </c>
      <c r="T115" s="111" t="s">
        <v>261</v>
      </c>
      <c r="U115" s="12" t="s">
        <v>261</v>
      </c>
      <c r="V115" s="116">
        <f t="shared" si="26"/>
        <v>0</v>
      </c>
      <c r="W115" s="117" t="e">
        <f>M115-'раздел 1 2020'!#REF!</f>
        <v>#REF!</v>
      </c>
      <c r="X115" s="117" t="e">
        <f>N115-'раздел 1 2020'!#REF!</f>
        <v>#REF!</v>
      </c>
      <c r="Y115" s="117" t="e">
        <f>O115-'раздел 1 2020'!#REF!</f>
        <v>#REF!</v>
      </c>
      <c r="Z115" s="117" t="e">
        <f>P115-'раздел 1 2020'!#REF!</f>
        <v>#REF!</v>
      </c>
      <c r="AA115" s="117" t="e">
        <f>Q115-'раздел 1 2020'!#REF!</f>
        <v>#REF!</v>
      </c>
      <c r="AB115" s="117" t="e">
        <f>R115-'раздел 1 2020'!#REF!</f>
        <v>#REF!</v>
      </c>
      <c r="AC115" s="117" t="e">
        <f>S115-'раздел 1 2020'!#REF!</f>
        <v>#REF!</v>
      </c>
      <c r="AD115" s="117" t="e">
        <f>T115-'раздел 1 2020'!#REF!</f>
        <v>#VALUE!</v>
      </c>
      <c r="AE115" s="117" t="e">
        <f>U115-'раздел 1 2020'!#REF!</f>
        <v>#VALUE!</v>
      </c>
      <c r="AF115" s="117" t="e">
        <f>V115-'раздел 1 2020'!#REF!</f>
        <v>#REF!</v>
      </c>
      <c r="AG115" s="117" t="e">
        <f>W115-'раздел 1 2020'!#REF!</f>
        <v>#REF!</v>
      </c>
    </row>
    <row r="116" spans="1:23" ht="18" customHeight="1">
      <c r="A116" s="338" t="s">
        <v>38</v>
      </c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40"/>
      <c r="V116" s="116">
        <f t="shared" si="26"/>
        <v>0</v>
      </c>
      <c r="W116" s="88"/>
    </row>
    <row r="117" spans="1:23" ht="18" customHeight="1">
      <c r="A117" s="345" t="s">
        <v>39</v>
      </c>
      <c r="B117" s="346"/>
      <c r="C117" s="346"/>
      <c r="D117" s="346"/>
      <c r="E117" s="347"/>
      <c r="F117" s="332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4"/>
      <c r="V117" s="11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08">
        <f>2101585.48</f>
        <v>2101585.48</v>
      </c>
      <c r="N118" s="108">
        <v>67954.73</v>
      </c>
      <c r="O118" s="108">
        <f>M118*30/100</f>
        <v>630475.644</v>
      </c>
      <c r="P118" s="108">
        <f>N118</f>
        <v>67954.73</v>
      </c>
      <c r="Q118" s="108">
        <f aca="true" t="shared" si="53" ref="Q118:Q182">(M118-O118)/3</f>
        <v>490369.9453333334</v>
      </c>
      <c r="R118" s="108">
        <f aca="true" t="shared" si="54" ref="R118:S120">Q118</f>
        <v>490369.9453333334</v>
      </c>
      <c r="S118" s="108">
        <f t="shared" si="54"/>
        <v>490369.9453333334</v>
      </c>
      <c r="T118" s="108">
        <v>43829</v>
      </c>
      <c r="U118" s="24" t="s">
        <v>184</v>
      </c>
      <c r="V118" s="11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08">
        <f>2099367.19</f>
        <v>2099367.19</v>
      </c>
      <c r="N119" s="108">
        <v>67954.73</v>
      </c>
      <c r="O119" s="108">
        <f>M119*30/100</f>
        <v>629810.157</v>
      </c>
      <c r="P119" s="108">
        <f>N119</f>
        <v>67954.73</v>
      </c>
      <c r="Q119" s="108">
        <f t="shared" si="53"/>
        <v>489852.34433333325</v>
      </c>
      <c r="R119" s="108">
        <f t="shared" si="54"/>
        <v>489852.34433333325</v>
      </c>
      <c r="S119" s="108">
        <f t="shared" si="54"/>
        <v>489852.34433333325</v>
      </c>
      <c r="T119" s="108">
        <v>43829</v>
      </c>
      <c r="U119" s="24" t="s">
        <v>184</v>
      </c>
      <c r="V119" s="11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0">
        <v>2405345.04</v>
      </c>
      <c r="N120" s="110">
        <v>66534.3</v>
      </c>
      <c r="O120" s="110">
        <f>M120*30/100</f>
        <v>721603.512</v>
      </c>
      <c r="P120" s="108">
        <f>N120</f>
        <v>66534.3</v>
      </c>
      <c r="Q120" s="110">
        <f t="shared" si="53"/>
        <v>561247.176</v>
      </c>
      <c r="R120" s="110">
        <f t="shared" si="54"/>
        <v>561247.176</v>
      </c>
      <c r="S120" s="110">
        <f t="shared" si="54"/>
        <v>561247.176</v>
      </c>
      <c r="T120" s="110">
        <v>43829</v>
      </c>
      <c r="U120" s="36" t="s">
        <v>184</v>
      </c>
      <c r="V120" s="116">
        <f t="shared" si="26"/>
        <v>0</v>
      </c>
      <c r="W120" s="100"/>
    </row>
    <row r="121" spans="1:23" ht="18" customHeight="1">
      <c r="A121" s="426" t="s">
        <v>23</v>
      </c>
      <c r="B121" s="427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09">
        <f t="shared" si="55"/>
        <v>6606297.71</v>
      </c>
      <c r="N121" s="109">
        <f t="shared" si="55"/>
        <v>202443.76</v>
      </c>
      <c r="O121" s="109">
        <f t="shared" si="55"/>
        <v>1981889.313</v>
      </c>
      <c r="P121" s="109">
        <f t="shared" si="55"/>
        <v>202443.76</v>
      </c>
      <c r="Q121" s="109">
        <f t="shared" si="55"/>
        <v>1541469.4656666666</v>
      </c>
      <c r="R121" s="109">
        <f t="shared" si="55"/>
        <v>1541469.4656666666</v>
      </c>
      <c r="S121" s="109">
        <f t="shared" si="55"/>
        <v>1541469.4656666666</v>
      </c>
      <c r="T121" s="109" t="s">
        <v>261</v>
      </c>
      <c r="U121" s="6" t="s">
        <v>261</v>
      </c>
      <c r="V121" s="116">
        <f t="shared" si="26"/>
        <v>0</v>
      </c>
      <c r="W121" s="91"/>
    </row>
    <row r="122" spans="1:23" s="15" customFormat="1" ht="18" customHeight="1">
      <c r="A122" s="428" t="s">
        <v>40</v>
      </c>
      <c r="B122" s="429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11">
        <f aca="true" t="shared" si="56" ref="M122:S122">M121</f>
        <v>6606297.71</v>
      </c>
      <c r="N122" s="111">
        <f t="shared" si="56"/>
        <v>202443.76</v>
      </c>
      <c r="O122" s="111">
        <f t="shared" si="56"/>
        <v>1981889.313</v>
      </c>
      <c r="P122" s="111">
        <f t="shared" si="56"/>
        <v>202443.76</v>
      </c>
      <c r="Q122" s="111">
        <f t="shared" si="56"/>
        <v>1541469.4656666666</v>
      </c>
      <c r="R122" s="111">
        <f t="shared" si="56"/>
        <v>1541469.4656666666</v>
      </c>
      <c r="S122" s="111">
        <f t="shared" si="56"/>
        <v>1541469.4656666666</v>
      </c>
      <c r="T122" s="111" t="s">
        <v>261</v>
      </c>
      <c r="U122" s="12" t="s">
        <v>261</v>
      </c>
      <c r="V122" s="116">
        <f t="shared" si="26"/>
        <v>0</v>
      </c>
      <c r="W122" s="94"/>
    </row>
    <row r="123" spans="1:23" ht="18" customHeight="1">
      <c r="A123" s="338" t="s">
        <v>181</v>
      </c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40"/>
      <c r="V123" s="11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08">
        <v>2402822.2</v>
      </c>
      <c r="N124" s="108">
        <v>66534.3</v>
      </c>
      <c r="O124" s="108">
        <f aca="true" t="shared" si="57" ref="O124:O187">M124*30/100</f>
        <v>720846.66</v>
      </c>
      <c r="P124" s="108">
        <f aca="true" t="shared" si="58" ref="P124:P187">N124</f>
        <v>66534.3</v>
      </c>
      <c r="Q124" s="108">
        <f t="shared" si="53"/>
        <v>560658.5133333333</v>
      </c>
      <c r="R124" s="108">
        <f aca="true" t="shared" si="59" ref="R124:S143">Q124</f>
        <v>560658.5133333333</v>
      </c>
      <c r="S124" s="108">
        <f t="shared" si="59"/>
        <v>560658.5133333333</v>
      </c>
      <c r="T124" s="108">
        <v>43829</v>
      </c>
      <c r="U124" s="24" t="s">
        <v>184</v>
      </c>
      <c r="V124" s="11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08">
        <v>2402822.2</v>
      </c>
      <c r="N125" s="108">
        <v>66534.3</v>
      </c>
      <c r="O125" s="108">
        <f t="shared" si="57"/>
        <v>720846.66</v>
      </c>
      <c r="P125" s="108">
        <f t="shared" si="58"/>
        <v>66534.3</v>
      </c>
      <c r="Q125" s="108">
        <f t="shared" si="53"/>
        <v>560658.5133333333</v>
      </c>
      <c r="R125" s="108">
        <f t="shared" si="59"/>
        <v>560658.5133333333</v>
      </c>
      <c r="S125" s="108">
        <f t="shared" si="59"/>
        <v>560658.5133333333</v>
      </c>
      <c r="T125" s="108">
        <v>43829</v>
      </c>
      <c r="U125" s="24" t="s">
        <v>184</v>
      </c>
      <c r="V125" s="11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08">
        <v>2402822.2</v>
      </c>
      <c r="N126" s="108">
        <v>66534.3</v>
      </c>
      <c r="O126" s="108">
        <f t="shared" si="57"/>
        <v>720846.66</v>
      </c>
      <c r="P126" s="108">
        <f t="shared" si="58"/>
        <v>66534.3</v>
      </c>
      <c r="Q126" s="108">
        <f t="shared" si="53"/>
        <v>560658.5133333333</v>
      </c>
      <c r="R126" s="108">
        <f t="shared" si="59"/>
        <v>560658.5133333333</v>
      </c>
      <c r="S126" s="108">
        <f t="shared" si="59"/>
        <v>560658.5133333333</v>
      </c>
      <c r="T126" s="108">
        <v>43829</v>
      </c>
      <c r="U126" s="24" t="s">
        <v>184</v>
      </c>
      <c r="V126" s="11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08">
        <v>2382394.04</v>
      </c>
      <c r="N127" s="108">
        <v>66534.3</v>
      </c>
      <c r="O127" s="108">
        <f t="shared" si="57"/>
        <v>714718.212</v>
      </c>
      <c r="P127" s="108">
        <f t="shared" si="58"/>
        <v>66534.3</v>
      </c>
      <c r="Q127" s="108">
        <f t="shared" si="53"/>
        <v>555891.9426666667</v>
      </c>
      <c r="R127" s="108">
        <f t="shared" si="59"/>
        <v>555891.9426666667</v>
      </c>
      <c r="S127" s="108">
        <f t="shared" si="59"/>
        <v>555891.9426666667</v>
      </c>
      <c r="T127" s="108">
        <v>43829</v>
      </c>
      <c r="U127" s="24" t="s">
        <v>184</v>
      </c>
      <c r="V127" s="11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08">
        <v>7183179.199999999</v>
      </c>
      <c r="N128" s="108">
        <v>199602.90000000002</v>
      </c>
      <c r="O128" s="108">
        <f t="shared" si="57"/>
        <v>2154953.76</v>
      </c>
      <c r="P128" s="108">
        <f t="shared" si="58"/>
        <v>199602.90000000002</v>
      </c>
      <c r="Q128" s="108">
        <f t="shared" si="53"/>
        <v>1676075.1466666665</v>
      </c>
      <c r="R128" s="108">
        <f t="shared" si="59"/>
        <v>1676075.1466666665</v>
      </c>
      <c r="S128" s="108">
        <f t="shared" si="59"/>
        <v>1676075.1466666665</v>
      </c>
      <c r="T128" s="108">
        <v>43829</v>
      </c>
      <c r="U128" s="24" t="s">
        <v>184</v>
      </c>
      <c r="V128" s="11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08">
        <v>2381760.38</v>
      </c>
      <c r="N129" s="108">
        <v>66534.3</v>
      </c>
      <c r="O129" s="108">
        <f t="shared" si="57"/>
        <v>714528.114</v>
      </c>
      <c r="P129" s="108">
        <f t="shared" si="58"/>
        <v>66534.3</v>
      </c>
      <c r="Q129" s="108">
        <f t="shared" si="53"/>
        <v>555744.0886666666</v>
      </c>
      <c r="R129" s="108">
        <f t="shared" si="59"/>
        <v>555744.0886666666</v>
      </c>
      <c r="S129" s="108">
        <f t="shared" si="59"/>
        <v>555744.0886666666</v>
      </c>
      <c r="T129" s="108">
        <v>43829</v>
      </c>
      <c r="U129" s="24" t="s">
        <v>184</v>
      </c>
      <c r="V129" s="11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08">
        <v>9532155.64</v>
      </c>
      <c r="N130" s="108">
        <v>266137.2</v>
      </c>
      <c r="O130" s="108">
        <f t="shared" si="57"/>
        <v>2859646.6920000003</v>
      </c>
      <c r="P130" s="108">
        <f t="shared" si="58"/>
        <v>266137.2</v>
      </c>
      <c r="Q130" s="108">
        <f t="shared" si="53"/>
        <v>2224169.6493333336</v>
      </c>
      <c r="R130" s="108">
        <f t="shared" si="59"/>
        <v>2224169.6493333336</v>
      </c>
      <c r="S130" s="108">
        <f t="shared" si="59"/>
        <v>2224169.6493333336</v>
      </c>
      <c r="T130" s="108">
        <v>43829</v>
      </c>
      <c r="U130" s="24" t="s">
        <v>184</v>
      </c>
      <c r="V130" s="11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08">
        <v>2381760.38</v>
      </c>
      <c r="N131" s="108">
        <v>66534.3</v>
      </c>
      <c r="O131" s="108">
        <f t="shared" si="57"/>
        <v>714528.114</v>
      </c>
      <c r="P131" s="108">
        <f t="shared" si="58"/>
        <v>66534.3</v>
      </c>
      <c r="Q131" s="108">
        <f t="shared" si="53"/>
        <v>555744.0886666666</v>
      </c>
      <c r="R131" s="108">
        <f t="shared" si="59"/>
        <v>555744.0886666666</v>
      </c>
      <c r="S131" s="108">
        <f t="shared" si="59"/>
        <v>555744.0886666666</v>
      </c>
      <c r="T131" s="108">
        <v>43829</v>
      </c>
      <c r="U131" s="24" t="s">
        <v>184</v>
      </c>
      <c r="V131" s="11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08">
        <v>2381760.38</v>
      </c>
      <c r="N132" s="108">
        <v>66534.3</v>
      </c>
      <c r="O132" s="108">
        <f t="shared" si="57"/>
        <v>714528.114</v>
      </c>
      <c r="P132" s="108">
        <f t="shared" si="58"/>
        <v>66534.3</v>
      </c>
      <c r="Q132" s="108">
        <f t="shared" si="53"/>
        <v>555744.0886666666</v>
      </c>
      <c r="R132" s="108">
        <f t="shared" si="59"/>
        <v>555744.0886666666</v>
      </c>
      <c r="S132" s="108">
        <f t="shared" si="59"/>
        <v>555744.0886666666</v>
      </c>
      <c r="T132" s="108">
        <v>43829</v>
      </c>
      <c r="U132" s="24" t="s">
        <v>184</v>
      </c>
      <c r="V132" s="11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08">
        <v>5590896.64</v>
      </c>
      <c r="N133" s="108">
        <v>149586.24</v>
      </c>
      <c r="O133" s="108">
        <f t="shared" si="57"/>
        <v>1677268.9919999999</v>
      </c>
      <c r="P133" s="108">
        <f t="shared" si="58"/>
        <v>149586.24</v>
      </c>
      <c r="Q133" s="108">
        <f t="shared" si="53"/>
        <v>1304542.5493333333</v>
      </c>
      <c r="R133" s="108">
        <f t="shared" si="59"/>
        <v>1304542.5493333333</v>
      </c>
      <c r="S133" s="108">
        <f t="shared" si="59"/>
        <v>1304542.5493333333</v>
      </c>
      <c r="T133" s="108">
        <v>43829</v>
      </c>
      <c r="U133" s="24" t="s">
        <v>184</v>
      </c>
      <c r="V133" s="11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08">
        <v>16596040.379999999</v>
      </c>
      <c r="N134" s="108">
        <v>460235.39999999997</v>
      </c>
      <c r="O134" s="108">
        <f t="shared" si="57"/>
        <v>4978812.114</v>
      </c>
      <c r="P134" s="108">
        <f t="shared" si="58"/>
        <v>460235.39999999997</v>
      </c>
      <c r="Q134" s="108">
        <f t="shared" si="53"/>
        <v>3872409.422</v>
      </c>
      <c r="R134" s="108">
        <f t="shared" si="59"/>
        <v>3872409.422</v>
      </c>
      <c r="S134" s="108">
        <f t="shared" si="59"/>
        <v>3872409.422</v>
      </c>
      <c r="T134" s="108">
        <v>43829</v>
      </c>
      <c r="U134" s="24" t="s">
        <v>184</v>
      </c>
      <c r="V134" s="11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08">
        <v>2755862.86</v>
      </c>
      <c r="N135" s="108">
        <v>74793.12</v>
      </c>
      <c r="O135" s="108">
        <f t="shared" si="57"/>
        <v>826758.858</v>
      </c>
      <c r="P135" s="108">
        <f t="shared" si="58"/>
        <v>74793.12</v>
      </c>
      <c r="Q135" s="108">
        <f t="shared" si="53"/>
        <v>643034.6673333333</v>
      </c>
      <c r="R135" s="108">
        <f t="shared" si="59"/>
        <v>643034.6673333333</v>
      </c>
      <c r="S135" s="108">
        <f t="shared" si="59"/>
        <v>643034.6673333333</v>
      </c>
      <c r="T135" s="108">
        <v>43829</v>
      </c>
      <c r="U135" s="24" t="s">
        <v>184</v>
      </c>
      <c r="V135" s="11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08">
        <v>2383923.32</v>
      </c>
      <c r="N136" s="108">
        <v>66534.3</v>
      </c>
      <c r="O136" s="108">
        <f t="shared" si="57"/>
        <v>715176.9959999999</v>
      </c>
      <c r="P136" s="108">
        <f t="shared" si="58"/>
        <v>66534.3</v>
      </c>
      <c r="Q136" s="108">
        <f t="shared" si="53"/>
        <v>556248.7746666666</v>
      </c>
      <c r="R136" s="108">
        <f t="shared" si="59"/>
        <v>556248.7746666666</v>
      </c>
      <c r="S136" s="108">
        <f t="shared" si="59"/>
        <v>556248.7746666666</v>
      </c>
      <c r="T136" s="108">
        <v>43829</v>
      </c>
      <c r="U136" s="24" t="s">
        <v>184</v>
      </c>
      <c r="V136" s="11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08">
        <v>2383923.32</v>
      </c>
      <c r="N137" s="108">
        <v>66534.3</v>
      </c>
      <c r="O137" s="108">
        <f t="shared" si="57"/>
        <v>715176.9959999999</v>
      </c>
      <c r="P137" s="108">
        <f t="shared" si="58"/>
        <v>66534.3</v>
      </c>
      <c r="Q137" s="108">
        <f t="shared" si="53"/>
        <v>556248.7746666666</v>
      </c>
      <c r="R137" s="108">
        <f t="shared" si="59"/>
        <v>556248.7746666666</v>
      </c>
      <c r="S137" s="108">
        <f t="shared" si="59"/>
        <v>556248.7746666666</v>
      </c>
      <c r="T137" s="108">
        <v>43829</v>
      </c>
      <c r="U137" s="24" t="s">
        <v>184</v>
      </c>
      <c r="V137" s="11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08">
        <v>3107145.32</v>
      </c>
      <c r="N138" s="108">
        <v>74793.12</v>
      </c>
      <c r="O138" s="108">
        <f t="shared" si="57"/>
        <v>932143.5959999999</v>
      </c>
      <c r="P138" s="108">
        <f t="shared" si="58"/>
        <v>74793.12</v>
      </c>
      <c r="Q138" s="108">
        <f t="shared" si="53"/>
        <v>725000.5746666667</v>
      </c>
      <c r="R138" s="108">
        <f t="shared" si="59"/>
        <v>725000.5746666667</v>
      </c>
      <c r="S138" s="108">
        <f t="shared" si="59"/>
        <v>725000.5746666667</v>
      </c>
      <c r="T138" s="108">
        <v>43829</v>
      </c>
      <c r="U138" s="24" t="s">
        <v>184</v>
      </c>
      <c r="V138" s="11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08">
        <v>19140228.939999998</v>
      </c>
      <c r="N139" s="108">
        <v>532274.4</v>
      </c>
      <c r="O139" s="108">
        <f t="shared" si="57"/>
        <v>5742068.681999999</v>
      </c>
      <c r="P139" s="108">
        <f t="shared" si="58"/>
        <v>532274.4</v>
      </c>
      <c r="Q139" s="108">
        <f t="shared" si="53"/>
        <v>4466053.419333332</v>
      </c>
      <c r="R139" s="108">
        <f t="shared" si="59"/>
        <v>4466053.419333332</v>
      </c>
      <c r="S139" s="108">
        <f t="shared" si="59"/>
        <v>4466053.419333332</v>
      </c>
      <c r="T139" s="108">
        <v>43829</v>
      </c>
      <c r="U139" s="24" t="s">
        <v>184</v>
      </c>
      <c r="V139" s="11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08">
        <v>2406530.94</v>
      </c>
      <c r="N140" s="108">
        <v>66534.3</v>
      </c>
      <c r="O140" s="108">
        <f t="shared" si="57"/>
        <v>721959.282</v>
      </c>
      <c r="P140" s="108">
        <f t="shared" si="58"/>
        <v>66534.3</v>
      </c>
      <c r="Q140" s="108">
        <f t="shared" si="53"/>
        <v>561523.8859999999</v>
      </c>
      <c r="R140" s="108">
        <f t="shared" si="59"/>
        <v>561523.8859999999</v>
      </c>
      <c r="S140" s="108">
        <f t="shared" si="59"/>
        <v>561523.8859999999</v>
      </c>
      <c r="T140" s="108">
        <v>43829</v>
      </c>
      <c r="U140" s="24" t="s">
        <v>184</v>
      </c>
      <c r="V140" s="11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08">
        <v>7026040.96</v>
      </c>
      <c r="N141" s="108">
        <v>199602.90000000002</v>
      </c>
      <c r="O141" s="108">
        <f t="shared" si="57"/>
        <v>2107812.288</v>
      </c>
      <c r="P141" s="108">
        <f t="shared" si="58"/>
        <v>199602.90000000002</v>
      </c>
      <c r="Q141" s="108">
        <f t="shared" si="53"/>
        <v>1639409.5573333334</v>
      </c>
      <c r="R141" s="108">
        <f t="shared" si="59"/>
        <v>1639409.5573333334</v>
      </c>
      <c r="S141" s="108">
        <f t="shared" si="59"/>
        <v>1639409.5573333334</v>
      </c>
      <c r="T141" s="108">
        <v>43829</v>
      </c>
      <c r="U141" s="24" t="s">
        <v>184</v>
      </c>
      <c r="V141" s="11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08">
        <v>3107145.32</v>
      </c>
      <c r="N142" s="108">
        <v>74793.12</v>
      </c>
      <c r="O142" s="108">
        <f t="shared" si="57"/>
        <v>932143.5959999999</v>
      </c>
      <c r="P142" s="108">
        <f t="shared" si="58"/>
        <v>74793.12</v>
      </c>
      <c r="Q142" s="108">
        <f t="shared" si="53"/>
        <v>725000.5746666667</v>
      </c>
      <c r="R142" s="108">
        <f t="shared" si="59"/>
        <v>725000.5746666667</v>
      </c>
      <c r="S142" s="108">
        <f t="shared" si="59"/>
        <v>725000.5746666667</v>
      </c>
      <c r="T142" s="108">
        <v>43829</v>
      </c>
      <c r="U142" s="24" t="s">
        <v>184</v>
      </c>
      <c r="V142" s="11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08">
        <v>2383923.32</v>
      </c>
      <c r="N143" s="108">
        <v>66534.3</v>
      </c>
      <c r="O143" s="108">
        <f t="shared" si="57"/>
        <v>715176.9959999999</v>
      </c>
      <c r="P143" s="108">
        <f t="shared" si="58"/>
        <v>66534.3</v>
      </c>
      <c r="Q143" s="108">
        <f t="shared" si="53"/>
        <v>556248.7746666666</v>
      </c>
      <c r="R143" s="108">
        <f t="shared" si="59"/>
        <v>556248.7746666666</v>
      </c>
      <c r="S143" s="108">
        <f t="shared" si="59"/>
        <v>556248.7746666666</v>
      </c>
      <c r="T143" s="108">
        <v>43829</v>
      </c>
      <c r="U143" s="24" t="s">
        <v>184</v>
      </c>
      <c r="V143" s="11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08">
        <v>2383923.32</v>
      </c>
      <c r="N144" s="108">
        <v>66534.3</v>
      </c>
      <c r="O144" s="108">
        <f t="shared" si="57"/>
        <v>715176.9959999999</v>
      </c>
      <c r="P144" s="108">
        <f t="shared" si="58"/>
        <v>66534.3</v>
      </c>
      <c r="Q144" s="108">
        <f t="shared" si="53"/>
        <v>556248.7746666666</v>
      </c>
      <c r="R144" s="108">
        <f aca="true" t="shared" si="62" ref="R144:S163">Q144</f>
        <v>556248.7746666666</v>
      </c>
      <c r="S144" s="108">
        <f t="shared" si="62"/>
        <v>556248.7746666666</v>
      </c>
      <c r="T144" s="108">
        <v>43829</v>
      </c>
      <c r="U144" s="24" t="s">
        <v>184</v>
      </c>
      <c r="V144" s="11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08">
        <v>3677184.44</v>
      </c>
      <c r="N145" s="108">
        <v>67865.34</v>
      </c>
      <c r="O145" s="108">
        <f t="shared" si="57"/>
        <v>1103155.332</v>
      </c>
      <c r="P145" s="108">
        <f t="shared" si="58"/>
        <v>67865.34</v>
      </c>
      <c r="Q145" s="108">
        <f t="shared" si="53"/>
        <v>858009.7026666667</v>
      </c>
      <c r="R145" s="108">
        <f t="shared" si="62"/>
        <v>858009.7026666667</v>
      </c>
      <c r="S145" s="108">
        <f t="shared" si="62"/>
        <v>858009.7026666667</v>
      </c>
      <c r="T145" s="108">
        <v>43829</v>
      </c>
      <c r="U145" s="24" t="s">
        <v>184</v>
      </c>
      <c r="V145" s="11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08">
        <v>4224766.98</v>
      </c>
      <c r="N146" s="108">
        <v>113268.2</v>
      </c>
      <c r="O146" s="108">
        <f t="shared" si="57"/>
        <v>1267430.094</v>
      </c>
      <c r="P146" s="108">
        <f t="shared" si="58"/>
        <v>113268.2</v>
      </c>
      <c r="Q146" s="108">
        <f t="shared" si="53"/>
        <v>985778.9620000002</v>
      </c>
      <c r="R146" s="108">
        <f t="shared" si="62"/>
        <v>985778.9620000002</v>
      </c>
      <c r="S146" s="108">
        <f t="shared" si="62"/>
        <v>985778.9620000002</v>
      </c>
      <c r="T146" s="108">
        <v>43829</v>
      </c>
      <c r="U146" s="24" t="s">
        <v>184</v>
      </c>
      <c r="V146" s="11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08">
        <v>2383923.32</v>
      </c>
      <c r="N147" s="108">
        <v>67865.34</v>
      </c>
      <c r="O147" s="108">
        <f t="shared" si="57"/>
        <v>715176.9959999999</v>
      </c>
      <c r="P147" s="108">
        <f t="shared" si="58"/>
        <v>67865.34</v>
      </c>
      <c r="Q147" s="108">
        <f t="shared" si="53"/>
        <v>556248.7746666666</v>
      </c>
      <c r="R147" s="108">
        <f t="shared" si="62"/>
        <v>556248.7746666666</v>
      </c>
      <c r="S147" s="108">
        <f t="shared" si="62"/>
        <v>556248.7746666666</v>
      </c>
      <c r="T147" s="108">
        <v>43829</v>
      </c>
      <c r="U147" s="24" t="s">
        <v>184</v>
      </c>
      <c r="V147" s="11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08">
        <v>3291723.28</v>
      </c>
      <c r="N148" s="108">
        <v>81904.98</v>
      </c>
      <c r="O148" s="108">
        <f t="shared" si="57"/>
        <v>987516.9839999999</v>
      </c>
      <c r="P148" s="108">
        <f t="shared" si="58"/>
        <v>81904.98</v>
      </c>
      <c r="Q148" s="108">
        <f t="shared" si="53"/>
        <v>768068.7653333334</v>
      </c>
      <c r="R148" s="108">
        <f t="shared" si="62"/>
        <v>768068.7653333334</v>
      </c>
      <c r="S148" s="108">
        <f t="shared" si="62"/>
        <v>768068.7653333334</v>
      </c>
      <c r="T148" s="108">
        <v>43829</v>
      </c>
      <c r="U148" s="24" t="s">
        <v>184</v>
      </c>
      <c r="V148" s="11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08">
        <v>2425393.24</v>
      </c>
      <c r="N149" s="108">
        <v>67865.34</v>
      </c>
      <c r="O149" s="108">
        <f t="shared" si="57"/>
        <v>727617.9720000001</v>
      </c>
      <c r="P149" s="108">
        <f t="shared" si="58"/>
        <v>67865.34</v>
      </c>
      <c r="Q149" s="108">
        <f t="shared" si="53"/>
        <v>565925.0893333334</v>
      </c>
      <c r="R149" s="108">
        <f t="shared" si="62"/>
        <v>565925.0893333334</v>
      </c>
      <c r="S149" s="108">
        <f t="shared" si="62"/>
        <v>565925.0893333334</v>
      </c>
      <c r="T149" s="108">
        <v>43829</v>
      </c>
      <c r="U149" s="24" t="s">
        <v>184</v>
      </c>
      <c r="V149" s="11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08">
        <v>2425393.24</v>
      </c>
      <c r="N150" s="108">
        <v>67865.34</v>
      </c>
      <c r="O150" s="108">
        <f t="shared" si="57"/>
        <v>727617.9720000001</v>
      </c>
      <c r="P150" s="108">
        <f t="shared" si="58"/>
        <v>67865.34</v>
      </c>
      <c r="Q150" s="108">
        <f t="shared" si="53"/>
        <v>565925.0893333334</v>
      </c>
      <c r="R150" s="108">
        <f t="shared" si="62"/>
        <v>565925.0893333334</v>
      </c>
      <c r="S150" s="108">
        <f t="shared" si="62"/>
        <v>565925.0893333334</v>
      </c>
      <c r="T150" s="108">
        <v>43829</v>
      </c>
      <c r="U150" s="24" t="s">
        <v>184</v>
      </c>
      <c r="V150" s="11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08">
        <v>2425393.24</v>
      </c>
      <c r="N151" s="108">
        <v>67865.34</v>
      </c>
      <c r="O151" s="108">
        <f t="shared" si="57"/>
        <v>727617.9720000001</v>
      </c>
      <c r="P151" s="108">
        <f t="shared" si="58"/>
        <v>67865.34</v>
      </c>
      <c r="Q151" s="108">
        <f t="shared" si="53"/>
        <v>565925.0893333334</v>
      </c>
      <c r="R151" s="108">
        <f t="shared" si="62"/>
        <v>565925.0893333334</v>
      </c>
      <c r="S151" s="108">
        <f t="shared" si="62"/>
        <v>565925.0893333334</v>
      </c>
      <c r="T151" s="108">
        <v>43829</v>
      </c>
      <c r="U151" s="24" t="s">
        <v>184</v>
      </c>
      <c r="V151" s="11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08">
        <v>2425393.24</v>
      </c>
      <c r="N152" s="108">
        <v>67865.34</v>
      </c>
      <c r="O152" s="108">
        <f t="shared" si="57"/>
        <v>727617.9720000001</v>
      </c>
      <c r="P152" s="108">
        <f t="shared" si="58"/>
        <v>67865.34</v>
      </c>
      <c r="Q152" s="108">
        <f t="shared" si="53"/>
        <v>565925.0893333334</v>
      </c>
      <c r="R152" s="108">
        <f t="shared" si="62"/>
        <v>565925.0893333334</v>
      </c>
      <c r="S152" s="108">
        <f t="shared" si="62"/>
        <v>565925.0893333334</v>
      </c>
      <c r="T152" s="108">
        <v>43829</v>
      </c>
      <c r="U152" s="24" t="s">
        <v>184</v>
      </c>
      <c r="V152" s="11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08">
        <v>2425393.24</v>
      </c>
      <c r="N153" s="108">
        <v>67865.34</v>
      </c>
      <c r="O153" s="108">
        <f t="shared" si="57"/>
        <v>727617.9720000001</v>
      </c>
      <c r="P153" s="108">
        <f t="shared" si="58"/>
        <v>67865.34</v>
      </c>
      <c r="Q153" s="108">
        <f t="shared" si="53"/>
        <v>565925.0893333334</v>
      </c>
      <c r="R153" s="108">
        <f t="shared" si="62"/>
        <v>565925.0893333334</v>
      </c>
      <c r="S153" s="108">
        <f t="shared" si="62"/>
        <v>565925.0893333334</v>
      </c>
      <c r="T153" s="108">
        <v>43829</v>
      </c>
      <c r="U153" s="24" t="s">
        <v>184</v>
      </c>
      <c r="V153" s="11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08">
        <v>2430984.08</v>
      </c>
      <c r="N154" s="108">
        <v>67865.34</v>
      </c>
      <c r="O154" s="108">
        <f t="shared" si="57"/>
        <v>729295.224</v>
      </c>
      <c r="P154" s="108">
        <f t="shared" si="58"/>
        <v>67865.34</v>
      </c>
      <c r="Q154" s="108">
        <f t="shared" si="53"/>
        <v>567229.6186666667</v>
      </c>
      <c r="R154" s="108">
        <f t="shared" si="62"/>
        <v>567229.6186666667</v>
      </c>
      <c r="S154" s="108">
        <f t="shared" si="62"/>
        <v>567229.6186666667</v>
      </c>
      <c r="T154" s="108">
        <v>43829</v>
      </c>
      <c r="U154" s="24" t="s">
        <v>184</v>
      </c>
      <c r="V154" s="11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08">
        <v>2430984.08</v>
      </c>
      <c r="N155" s="108">
        <v>67865.34</v>
      </c>
      <c r="O155" s="108">
        <f t="shared" si="57"/>
        <v>729295.224</v>
      </c>
      <c r="P155" s="108">
        <f t="shared" si="58"/>
        <v>67865.34</v>
      </c>
      <c r="Q155" s="108">
        <f t="shared" si="53"/>
        <v>567229.6186666667</v>
      </c>
      <c r="R155" s="108">
        <f t="shared" si="62"/>
        <v>567229.6186666667</v>
      </c>
      <c r="S155" s="108">
        <f t="shared" si="62"/>
        <v>567229.6186666667</v>
      </c>
      <c r="T155" s="108">
        <v>43829</v>
      </c>
      <c r="U155" s="24" t="s">
        <v>184</v>
      </c>
      <c r="V155" s="11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08">
        <v>6822064.98</v>
      </c>
      <c r="N156" s="108">
        <v>192364.78</v>
      </c>
      <c r="O156" s="108">
        <f t="shared" si="57"/>
        <v>2046619.494</v>
      </c>
      <c r="P156" s="108">
        <f t="shared" si="58"/>
        <v>192364.78</v>
      </c>
      <c r="Q156" s="108">
        <f t="shared" si="53"/>
        <v>1591815.1620000002</v>
      </c>
      <c r="R156" s="108">
        <f t="shared" si="62"/>
        <v>1591815.1620000002</v>
      </c>
      <c r="S156" s="108">
        <f t="shared" si="62"/>
        <v>1591815.1620000002</v>
      </c>
      <c r="T156" s="108">
        <v>43829</v>
      </c>
      <c r="U156" s="24" t="s">
        <v>184</v>
      </c>
      <c r="V156" s="11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08">
        <v>2369524.96</v>
      </c>
      <c r="N157" s="108">
        <v>67865.34</v>
      </c>
      <c r="O157" s="108">
        <f t="shared" si="57"/>
        <v>710857.488</v>
      </c>
      <c r="P157" s="108">
        <f t="shared" si="58"/>
        <v>67865.34</v>
      </c>
      <c r="Q157" s="108">
        <f t="shared" si="53"/>
        <v>552889.1573333334</v>
      </c>
      <c r="R157" s="108">
        <f t="shared" si="62"/>
        <v>552889.1573333334</v>
      </c>
      <c r="S157" s="108">
        <f t="shared" si="62"/>
        <v>552889.1573333334</v>
      </c>
      <c r="T157" s="108">
        <v>43829</v>
      </c>
      <c r="U157" s="24" t="s">
        <v>184</v>
      </c>
      <c r="V157" s="11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08">
        <v>4563732.6</v>
      </c>
      <c r="N158" s="108">
        <v>130115.06</v>
      </c>
      <c r="O158" s="108">
        <f t="shared" si="57"/>
        <v>1369119.78</v>
      </c>
      <c r="P158" s="108">
        <f t="shared" si="58"/>
        <v>130115.06</v>
      </c>
      <c r="Q158" s="108">
        <f t="shared" si="53"/>
        <v>1064870.9399999997</v>
      </c>
      <c r="R158" s="108">
        <f t="shared" si="62"/>
        <v>1064870.9399999997</v>
      </c>
      <c r="S158" s="108">
        <f t="shared" si="62"/>
        <v>1064870.9399999997</v>
      </c>
      <c r="T158" s="108">
        <v>43829</v>
      </c>
      <c r="U158" s="24" t="s">
        <v>184</v>
      </c>
      <c r="V158" s="11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08">
        <v>2414533.7</v>
      </c>
      <c r="N159" s="108">
        <v>67865.34</v>
      </c>
      <c r="O159" s="108">
        <f t="shared" si="57"/>
        <v>724360.11</v>
      </c>
      <c r="P159" s="108">
        <f t="shared" si="58"/>
        <v>67865.34</v>
      </c>
      <c r="Q159" s="108">
        <f t="shared" si="53"/>
        <v>563391.1966666668</v>
      </c>
      <c r="R159" s="108">
        <f t="shared" si="62"/>
        <v>563391.1966666668</v>
      </c>
      <c r="S159" s="108">
        <f t="shared" si="62"/>
        <v>563391.1966666668</v>
      </c>
      <c r="T159" s="108">
        <v>43829</v>
      </c>
      <c r="U159" s="24" t="s">
        <v>184</v>
      </c>
      <c r="V159" s="11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08">
        <v>2420214.22</v>
      </c>
      <c r="N160" s="108">
        <v>67865.34</v>
      </c>
      <c r="O160" s="108">
        <f t="shared" si="57"/>
        <v>726064.2660000001</v>
      </c>
      <c r="P160" s="108">
        <f t="shared" si="58"/>
        <v>67865.34</v>
      </c>
      <c r="Q160" s="108">
        <f t="shared" si="53"/>
        <v>564716.6513333333</v>
      </c>
      <c r="R160" s="108">
        <f t="shared" si="62"/>
        <v>564716.6513333333</v>
      </c>
      <c r="S160" s="108">
        <f t="shared" si="62"/>
        <v>564716.6513333333</v>
      </c>
      <c r="T160" s="108">
        <v>43829</v>
      </c>
      <c r="U160" s="24" t="s">
        <v>184</v>
      </c>
      <c r="V160" s="11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08">
        <v>4556806</v>
      </c>
      <c r="N161" s="108">
        <v>130115.06</v>
      </c>
      <c r="O161" s="108">
        <f t="shared" si="57"/>
        <v>1367041.8</v>
      </c>
      <c r="P161" s="108">
        <f t="shared" si="58"/>
        <v>130115.06</v>
      </c>
      <c r="Q161" s="108">
        <f t="shared" si="53"/>
        <v>1063254.7333333334</v>
      </c>
      <c r="R161" s="108">
        <f t="shared" si="62"/>
        <v>1063254.7333333334</v>
      </c>
      <c r="S161" s="108">
        <f t="shared" si="62"/>
        <v>1063254.7333333334</v>
      </c>
      <c r="T161" s="108">
        <v>43829</v>
      </c>
      <c r="U161" s="24" t="s">
        <v>184</v>
      </c>
      <c r="V161" s="11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08">
        <v>2369524.96</v>
      </c>
      <c r="N162" s="108">
        <v>67865.34</v>
      </c>
      <c r="O162" s="108">
        <f t="shared" si="57"/>
        <v>710857.488</v>
      </c>
      <c r="P162" s="108">
        <f t="shared" si="58"/>
        <v>67865.34</v>
      </c>
      <c r="Q162" s="108">
        <f t="shared" si="53"/>
        <v>552889.1573333334</v>
      </c>
      <c r="R162" s="108">
        <f t="shared" si="62"/>
        <v>552889.1573333334</v>
      </c>
      <c r="S162" s="108">
        <f t="shared" si="62"/>
        <v>552889.1573333334</v>
      </c>
      <c r="T162" s="108">
        <v>43829</v>
      </c>
      <c r="U162" s="24" t="s">
        <v>184</v>
      </c>
      <c r="V162" s="11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08">
        <v>13137762.459999999</v>
      </c>
      <c r="N163" s="108">
        <v>373498.31999999995</v>
      </c>
      <c r="O163" s="108">
        <f t="shared" si="57"/>
        <v>3941328.7379999994</v>
      </c>
      <c r="P163" s="108">
        <f t="shared" si="58"/>
        <v>373498.31999999995</v>
      </c>
      <c r="Q163" s="108">
        <f t="shared" si="53"/>
        <v>3065477.907333333</v>
      </c>
      <c r="R163" s="108">
        <f t="shared" si="62"/>
        <v>3065477.907333333</v>
      </c>
      <c r="S163" s="108">
        <f t="shared" si="62"/>
        <v>3065477.907333333</v>
      </c>
      <c r="T163" s="108">
        <v>43829</v>
      </c>
      <c r="U163" s="24" t="s">
        <v>184</v>
      </c>
      <c r="V163" s="11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08">
        <v>16628701.6</v>
      </c>
      <c r="N164" s="108">
        <v>475057.3799999999</v>
      </c>
      <c r="O164" s="108">
        <f t="shared" si="57"/>
        <v>4988610.48</v>
      </c>
      <c r="P164" s="108">
        <f t="shared" si="58"/>
        <v>475057.3799999999</v>
      </c>
      <c r="Q164" s="108">
        <f t="shared" si="53"/>
        <v>3880030.373333333</v>
      </c>
      <c r="R164" s="108">
        <f aca="true" t="shared" si="63" ref="R164:S183">Q164</f>
        <v>3880030.373333333</v>
      </c>
      <c r="S164" s="108">
        <f t="shared" si="63"/>
        <v>3880030.373333333</v>
      </c>
      <c r="T164" s="108">
        <v>43829</v>
      </c>
      <c r="U164" s="24" t="s">
        <v>184</v>
      </c>
      <c r="V164" s="11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08">
        <v>14104556.52</v>
      </c>
      <c r="N165" s="108">
        <v>407192.0399999999</v>
      </c>
      <c r="O165" s="108">
        <f t="shared" si="57"/>
        <v>4231366.955999999</v>
      </c>
      <c r="P165" s="108">
        <f t="shared" si="58"/>
        <v>407192.0399999999</v>
      </c>
      <c r="Q165" s="108">
        <f t="shared" si="53"/>
        <v>3291063.1879999996</v>
      </c>
      <c r="R165" s="108">
        <f t="shared" si="63"/>
        <v>3291063.1879999996</v>
      </c>
      <c r="S165" s="108">
        <f t="shared" si="63"/>
        <v>3291063.1879999996</v>
      </c>
      <c r="T165" s="108">
        <v>43829</v>
      </c>
      <c r="U165" s="24" t="s">
        <v>184</v>
      </c>
      <c r="V165" s="11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08">
        <v>10874314.780000001</v>
      </c>
      <c r="N166" s="108">
        <v>332671.5</v>
      </c>
      <c r="O166" s="108">
        <f t="shared" si="57"/>
        <v>3262294.4340000004</v>
      </c>
      <c r="P166" s="108">
        <f t="shared" si="58"/>
        <v>332671.5</v>
      </c>
      <c r="Q166" s="108">
        <f t="shared" si="53"/>
        <v>2537340.1153333336</v>
      </c>
      <c r="R166" s="108">
        <f t="shared" si="63"/>
        <v>2537340.1153333336</v>
      </c>
      <c r="S166" s="108">
        <f t="shared" si="63"/>
        <v>2537340.1153333336</v>
      </c>
      <c r="T166" s="108">
        <v>43829</v>
      </c>
      <c r="U166" s="24" t="s">
        <v>184</v>
      </c>
      <c r="V166" s="11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08">
        <v>4340391.640000001</v>
      </c>
      <c r="N167" s="108">
        <v>133068.6</v>
      </c>
      <c r="O167" s="108">
        <f t="shared" si="57"/>
        <v>1302117.492</v>
      </c>
      <c r="P167" s="108">
        <f t="shared" si="58"/>
        <v>133068.6</v>
      </c>
      <c r="Q167" s="108">
        <f t="shared" si="53"/>
        <v>1012758.0493333335</v>
      </c>
      <c r="R167" s="108">
        <f t="shared" si="63"/>
        <v>1012758.0493333335</v>
      </c>
      <c r="S167" s="108">
        <f t="shared" si="63"/>
        <v>1012758.0493333335</v>
      </c>
      <c r="T167" s="108">
        <v>43829</v>
      </c>
      <c r="U167" s="24" t="s">
        <v>184</v>
      </c>
      <c r="V167" s="11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08">
        <v>10872495.22</v>
      </c>
      <c r="N168" s="108">
        <v>332671.5</v>
      </c>
      <c r="O168" s="108">
        <f t="shared" si="57"/>
        <v>3261748.566</v>
      </c>
      <c r="P168" s="108">
        <f t="shared" si="58"/>
        <v>332671.5</v>
      </c>
      <c r="Q168" s="108">
        <f t="shared" si="53"/>
        <v>2536915.551333334</v>
      </c>
      <c r="R168" s="108">
        <f t="shared" si="63"/>
        <v>2536915.551333334</v>
      </c>
      <c r="S168" s="108">
        <f t="shared" si="63"/>
        <v>2536915.551333334</v>
      </c>
      <c r="T168" s="108">
        <v>43829</v>
      </c>
      <c r="U168" s="24" t="s">
        <v>184</v>
      </c>
      <c r="V168" s="11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08">
        <v>6527863.84</v>
      </c>
      <c r="N169" s="108">
        <v>199602.90000000002</v>
      </c>
      <c r="O169" s="108">
        <f t="shared" si="57"/>
        <v>1958359.1519999998</v>
      </c>
      <c r="P169" s="108">
        <f t="shared" si="58"/>
        <v>199602.90000000002</v>
      </c>
      <c r="Q169" s="108">
        <f t="shared" si="53"/>
        <v>1523168.2293333334</v>
      </c>
      <c r="R169" s="108">
        <f t="shared" si="63"/>
        <v>1523168.2293333334</v>
      </c>
      <c r="S169" s="108">
        <f t="shared" si="63"/>
        <v>1523168.2293333334</v>
      </c>
      <c r="T169" s="108">
        <v>43829</v>
      </c>
      <c r="U169" s="24" t="s">
        <v>184</v>
      </c>
      <c r="V169" s="11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08">
        <v>6511496.0600000005</v>
      </c>
      <c r="N170" s="108">
        <v>199602.90000000002</v>
      </c>
      <c r="O170" s="108">
        <f t="shared" si="57"/>
        <v>1953448.8180000002</v>
      </c>
      <c r="P170" s="108">
        <f t="shared" si="58"/>
        <v>199602.90000000002</v>
      </c>
      <c r="Q170" s="108">
        <f t="shared" si="53"/>
        <v>1519349.0806666669</v>
      </c>
      <c r="R170" s="108">
        <f t="shared" si="63"/>
        <v>1519349.0806666669</v>
      </c>
      <c r="S170" s="108">
        <f t="shared" si="63"/>
        <v>1519349.0806666669</v>
      </c>
      <c r="T170" s="108">
        <v>43829</v>
      </c>
      <c r="U170" s="24" t="s">
        <v>184</v>
      </c>
      <c r="V170" s="11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08">
        <v>6518771.9399999995</v>
      </c>
      <c r="N171" s="108">
        <v>199602.90000000002</v>
      </c>
      <c r="O171" s="108">
        <f t="shared" si="57"/>
        <v>1955631.582</v>
      </c>
      <c r="P171" s="108">
        <f t="shared" si="58"/>
        <v>199602.90000000002</v>
      </c>
      <c r="Q171" s="108">
        <f t="shared" si="53"/>
        <v>1521046.7859999996</v>
      </c>
      <c r="R171" s="108">
        <f t="shared" si="63"/>
        <v>1521046.7859999996</v>
      </c>
      <c r="S171" s="108">
        <f t="shared" si="63"/>
        <v>1521046.7859999996</v>
      </c>
      <c r="T171" s="108">
        <v>43829</v>
      </c>
      <c r="U171" s="24" t="s">
        <v>184</v>
      </c>
      <c r="V171" s="11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08">
        <v>4344631.380000001</v>
      </c>
      <c r="N172" s="108">
        <v>133068.6</v>
      </c>
      <c r="O172" s="108">
        <f t="shared" si="57"/>
        <v>1303389.414</v>
      </c>
      <c r="P172" s="108">
        <f t="shared" si="58"/>
        <v>133068.6</v>
      </c>
      <c r="Q172" s="108">
        <f t="shared" si="53"/>
        <v>1013747.3220000003</v>
      </c>
      <c r="R172" s="108">
        <f t="shared" si="63"/>
        <v>1013747.3220000003</v>
      </c>
      <c r="S172" s="108">
        <f t="shared" si="63"/>
        <v>1013747.3220000003</v>
      </c>
      <c r="T172" s="108">
        <v>43829</v>
      </c>
      <c r="U172" s="24" t="s">
        <v>184</v>
      </c>
      <c r="V172" s="11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08">
        <v>4344631.380000001</v>
      </c>
      <c r="N173" s="108">
        <v>133068.6</v>
      </c>
      <c r="O173" s="108">
        <f t="shared" si="57"/>
        <v>1303389.414</v>
      </c>
      <c r="P173" s="108">
        <f t="shared" si="58"/>
        <v>133068.6</v>
      </c>
      <c r="Q173" s="108">
        <f t="shared" si="53"/>
        <v>1013747.3220000003</v>
      </c>
      <c r="R173" s="108">
        <f t="shared" si="63"/>
        <v>1013747.3220000003</v>
      </c>
      <c r="S173" s="108">
        <f t="shared" si="63"/>
        <v>1013747.3220000003</v>
      </c>
      <c r="T173" s="108">
        <v>43829</v>
      </c>
      <c r="U173" s="24" t="s">
        <v>184</v>
      </c>
      <c r="V173" s="11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08">
        <v>2161103.92</v>
      </c>
      <c r="N174" s="108">
        <v>66534.3</v>
      </c>
      <c r="O174" s="108">
        <f t="shared" si="57"/>
        <v>648331.176</v>
      </c>
      <c r="P174" s="108">
        <f t="shared" si="58"/>
        <v>66534.3</v>
      </c>
      <c r="Q174" s="108">
        <f t="shared" si="53"/>
        <v>504257.58133333334</v>
      </c>
      <c r="R174" s="108">
        <f t="shared" si="63"/>
        <v>504257.58133333334</v>
      </c>
      <c r="S174" s="108">
        <f t="shared" si="63"/>
        <v>504257.58133333334</v>
      </c>
      <c r="T174" s="108">
        <v>43829</v>
      </c>
      <c r="U174" s="24" t="s">
        <v>184</v>
      </c>
      <c r="V174" s="11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08">
        <v>8363128.459999999</v>
      </c>
      <c r="N175" s="108">
        <v>255130.16</v>
      </c>
      <c r="O175" s="108">
        <f t="shared" si="57"/>
        <v>2508938.5379999997</v>
      </c>
      <c r="P175" s="108">
        <f t="shared" si="58"/>
        <v>255130.16</v>
      </c>
      <c r="Q175" s="108">
        <f t="shared" si="53"/>
        <v>1951396.6406666664</v>
      </c>
      <c r="R175" s="108">
        <f t="shared" si="63"/>
        <v>1951396.6406666664</v>
      </c>
      <c r="S175" s="108">
        <f t="shared" si="63"/>
        <v>1951396.6406666664</v>
      </c>
      <c r="T175" s="108">
        <v>43829</v>
      </c>
      <c r="U175" s="24" t="s">
        <v>184</v>
      </c>
      <c r="V175" s="11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08">
        <v>2156569.18</v>
      </c>
      <c r="N176" s="108">
        <v>66534.3</v>
      </c>
      <c r="O176" s="108">
        <f t="shared" si="57"/>
        <v>646970.7540000001</v>
      </c>
      <c r="P176" s="108">
        <f t="shared" si="58"/>
        <v>66534.3</v>
      </c>
      <c r="Q176" s="108">
        <f t="shared" si="53"/>
        <v>503199.4753333333</v>
      </c>
      <c r="R176" s="108">
        <f t="shared" si="63"/>
        <v>503199.4753333333</v>
      </c>
      <c r="S176" s="108">
        <f t="shared" si="63"/>
        <v>503199.4753333333</v>
      </c>
      <c r="T176" s="108">
        <v>43829</v>
      </c>
      <c r="U176" s="24" t="s">
        <v>184</v>
      </c>
      <c r="V176" s="11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08">
        <v>8363128.46</v>
      </c>
      <c r="N177" s="108">
        <v>255130.16</v>
      </c>
      <c r="O177" s="108">
        <f t="shared" si="57"/>
        <v>2508938.538</v>
      </c>
      <c r="P177" s="108">
        <f t="shared" si="58"/>
        <v>255130.16</v>
      </c>
      <c r="Q177" s="108">
        <f t="shared" si="53"/>
        <v>1951396.6406666667</v>
      </c>
      <c r="R177" s="108">
        <f t="shared" si="63"/>
        <v>1951396.6406666667</v>
      </c>
      <c r="S177" s="108">
        <f t="shared" si="63"/>
        <v>1951396.6406666667</v>
      </c>
      <c r="T177" s="108">
        <v>43829</v>
      </c>
      <c r="U177" s="24" t="s">
        <v>184</v>
      </c>
      <c r="V177" s="11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08">
        <v>2147701.48</v>
      </c>
      <c r="N178" s="108">
        <v>66534.3</v>
      </c>
      <c r="O178" s="108">
        <f t="shared" si="57"/>
        <v>644310.444</v>
      </c>
      <c r="P178" s="108">
        <f t="shared" si="58"/>
        <v>66534.3</v>
      </c>
      <c r="Q178" s="108">
        <f t="shared" si="53"/>
        <v>501130.3453333333</v>
      </c>
      <c r="R178" s="108">
        <f t="shared" si="63"/>
        <v>501130.3453333333</v>
      </c>
      <c r="S178" s="108">
        <f t="shared" si="63"/>
        <v>501130.3453333333</v>
      </c>
      <c r="T178" s="108">
        <v>43829</v>
      </c>
      <c r="U178" s="24" t="s">
        <v>184</v>
      </c>
      <c r="V178" s="11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08">
        <v>8361307.72</v>
      </c>
      <c r="N179" s="108">
        <v>255130.16</v>
      </c>
      <c r="O179" s="108">
        <f t="shared" si="57"/>
        <v>2508392.316</v>
      </c>
      <c r="P179" s="108">
        <f t="shared" si="58"/>
        <v>255130.16</v>
      </c>
      <c r="Q179" s="108">
        <f t="shared" si="53"/>
        <v>1950971.8013333331</v>
      </c>
      <c r="R179" s="108">
        <f t="shared" si="63"/>
        <v>1950971.8013333331</v>
      </c>
      <c r="S179" s="108">
        <f t="shared" si="63"/>
        <v>1950971.8013333331</v>
      </c>
      <c r="T179" s="108">
        <v>43829</v>
      </c>
      <c r="U179" s="24" t="s">
        <v>184</v>
      </c>
      <c r="V179" s="11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08">
        <v>8443325.98</v>
      </c>
      <c r="N180" s="108">
        <v>255130.16</v>
      </c>
      <c r="O180" s="108">
        <f t="shared" si="57"/>
        <v>2532997.794</v>
      </c>
      <c r="P180" s="108">
        <f t="shared" si="58"/>
        <v>255130.16</v>
      </c>
      <c r="Q180" s="108">
        <f t="shared" si="53"/>
        <v>1970109.3953333336</v>
      </c>
      <c r="R180" s="108">
        <f t="shared" si="63"/>
        <v>1970109.3953333336</v>
      </c>
      <c r="S180" s="108">
        <f t="shared" si="63"/>
        <v>1970109.3953333336</v>
      </c>
      <c r="T180" s="108">
        <v>43829</v>
      </c>
      <c r="U180" s="24" t="s">
        <v>184</v>
      </c>
      <c r="V180" s="11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08">
        <v>2103446.76</v>
      </c>
      <c r="N181" s="108">
        <v>63782.54</v>
      </c>
      <c r="O181" s="108">
        <f t="shared" si="57"/>
        <v>631034.0279999999</v>
      </c>
      <c r="P181" s="108">
        <f t="shared" si="58"/>
        <v>63782.54</v>
      </c>
      <c r="Q181" s="108">
        <f t="shared" si="53"/>
        <v>490804.24399999995</v>
      </c>
      <c r="R181" s="108">
        <f t="shared" si="63"/>
        <v>490804.24399999995</v>
      </c>
      <c r="S181" s="108">
        <f t="shared" si="63"/>
        <v>490804.24399999995</v>
      </c>
      <c r="T181" s="108">
        <v>43829</v>
      </c>
      <c r="U181" s="24" t="s">
        <v>184</v>
      </c>
      <c r="V181" s="11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08">
        <v>2144710.18</v>
      </c>
      <c r="N182" s="108">
        <v>66534.3</v>
      </c>
      <c r="O182" s="108">
        <f t="shared" si="57"/>
        <v>643413.054</v>
      </c>
      <c r="P182" s="108">
        <f t="shared" si="58"/>
        <v>66534.3</v>
      </c>
      <c r="Q182" s="108">
        <f t="shared" si="53"/>
        <v>500432.3753333334</v>
      </c>
      <c r="R182" s="108">
        <f t="shared" si="63"/>
        <v>500432.3753333334</v>
      </c>
      <c r="S182" s="108">
        <f t="shared" si="63"/>
        <v>500432.3753333334</v>
      </c>
      <c r="T182" s="108">
        <v>43829</v>
      </c>
      <c r="U182" s="24" t="s">
        <v>184</v>
      </c>
      <c r="V182" s="11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08">
        <v>4340391.640000001</v>
      </c>
      <c r="N183" s="108">
        <v>133068.6</v>
      </c>
      <c r="O183" s="108">
        <f t="shared" si="57"/>
        <v>1302117.492</v>
      </c>
      <c r="P183" s="108">
        <f t="shared" si="58"/>
        <v>133068.6</v>
      </c>
      <c r="Q183" s="108">
        <f aca="true" t="shared" si="64" ref="Q183:Q219">(M183-O183)/3</f>
        <v>1012758.0493333335</v>
      </c>
      <c r="R183" s="108">
        <f t="shared" si="63"/>
        <v>1012758.0493333335</v>
      </c>
      <c r="S183" s="108">
        <f t="shared" si="63"/>
        <v>1012758.0493333335</v>
      </c>
      <c r="T183" s="108">
        <v>43829</v>
      </c>
      <c r="U183" s="24" t="s">
        <v>184</v>
      </c>
      <c r="V183" s="11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08">
        <v>2145906.7</v>
      </c>
      <c r="N184" s="108">
        <v>66534.3</v>
      </c>
      <c r="O184" s="108">
        <f t="shared" si="57"/>
        <v>643772.0100000001</v>
      </c>
      <c r="P184" s="108">
        <f t="shared" si="58"/>
        <v>66534.3</v>
      </c>
      <c r="Q184" s="108">
        <f t="shared" si="64"/>
        <v>500711.5633333333</v>
      </c>
      <c r="R184" s="108">
        <f aca="true" t="shared" si="65" ref="R184:S203">Q184</f>
        <v>500711.5633333333</v>
      </c>
      <c r="S184" s="108">
        <f t="shared" si="65"/>
        <v>500711.5633333333</v>
      </c>
      <c r="T184" s="108">
        <v>43829</v>
      </c>
      <c r="U184" s="24" t="s">
        <v>184</v>
      </c>
      <c r="V184" s="11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08">
        <v>2142261.68</v>
      </c>
      <c r="N185" s="108">
        <v>66534.3</v>
      </c>
      <c r="O185" s="108">
        <f t="shared" si="57"/>
        <v>642678.5040000001</v>
      </c>
      <c r="P185" s="108">
        <f t="shared" si="58"/>
        <v>66534.3</v>
      </c>
      <c r="Q185" s="108">
        <f t="shared" si="64"/>
        <v>499861.0586666667</v>
      </c>
      <c r="R185" s="108">
        <f t="shared" si="65"/>
        <v>499861.0586666667</v>
      </c>
      <c r="S185" s="108">
        <f t="shared" si="65"/>
        <v>499861.0586666667</v>
      </c>
      <c r="T185" s="108">
        <v>43829</v>
      </c>
      <c r="U185" s="24" t="s">
        <v>184</v>
      </c>
      <c r="V185" s="11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08">
        <v>2142261.68</v>
      </c>
      <c r="N186" s="108">
        <v>66534.3</v>
      </c>
      <c r="O186" s="108">
        <f t="shared" si="57"/>
        <v>642678.5040000001</v>
      </c>
      <c r="P186" s="108">
        <f t="shared" si="58"/>
        <v>66534.3</v>
      </c>
      <c r="Q186" s="108">
        <f t="shared" si="64"/>
        <v>499861.0586666667</v>
      </c>
      <c r="R186" s="108">
        <f t="shared" si="65"/>
        <v>499861.0586666667</v>
      </c>
      <c r="S186" s="108">
        <f t="shared" si="65"/>
        <v>499861.0586666667</v>
      </c>
      <c r="T186" s="108">
        <v>43829</v>
      </c>
      <c r="U186" s="24" t="s">
        <v>184</v>
      </c>
      <c r="V186" s="11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08">
        <v>2399316.42</v>
      </c>
      <c r="N187" s="108">
        <v>74793.12</v>
      </c>
      <c r="O187" s="108">
        <f t="shared" si="57"/>
        <v>719794.926</v>
      </c>
      <c r="P187" s="108">
        <f t="shared" si="58"/>
        <v>74793.12</v>
      </c>
      <c r="Q187" s="108">
        <f t="shared" si="64"/>
        <v>559840.498</v>
      </c>
      <c r="R187" s="108">
        <f t="shared" si="65"/>
        <v>559840.498</v>
      </c>
      <c r="S187" s="108">
        <f t="shared" si="65"/>
        <v>559840.498</v>
      </c>
      <c r="T187" s="108">
        <v>43829</v>
      </c>
      <c r="U187" s="24" t="s">
        <v>184</v>
      </c>
      <c r="V187" s="11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08">
        <v>2141973.76</v>
      </c>
      <c r="N188" s="109">
        <v>66534.3</v>
      </c>
      <c r="O188" s="108">
        <f aca="true" t="shared" si="66" ref="O188:O219">M188*30/100</f>
        <v>642592.128</v>
      </c>
      <c r="P188" s="108">
        <f aca="true" t="shared" si="67" ref="P188:P219">N188</f>
        <v>66534.3</v>
      </c>
      <c r="Q188" s="108">
        <f t="shared" si="64"/>
        <v>499793.87733333325</v>
      </c>
      <c r="R188" s="108">
        <f t="shared" si="65"/>
        <v>499793.87733333325</v>
      </c>
      <c r="S188" s="108">
        <f t="shared" si="65"/>
        <v>499793.87733333325</v>
      </c>
      <c r="T188" s="108">
        <v>43829</v>
      </c>
      <c r="U188" s="24" t="s">
        <v>184</v>
      </c>
      <c r="V188" s="11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08">
        <v>6488502.58</v>
      </c>
      <c r="N189" s="109">
        <v>199602.9</v>
      </c>
      <c r="O189" s="108">
        <f t="shared" si="66"/>
        <v>1946550.774</v>
      </c>
      <c r="P189" s="108">
        <f t="shared" si="67"/>
        <v>199602.9</v>
      </c>
      <c r="Q189" s="108">
        <f t="shared" si="64"/>
        <v>1513983.9353333332</v>
      </c>
      <c r="R189" s="108">
        <f t="shared" si="65"/>
        <v>1513983.9353333332</v>
      </c>
      <c r="S189" s="108">
        <f t="shared" si="65"/>
        <v>1513983.9353333332</v>
      </c>
      <c r="T189" s="108">
        <v>43829</v>
      </c>
      <c r="U189" s="24" t="s">
        <v>184</v>
      </c>
      <c r="V189" s="11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08">
        <v>2141710.62</v>
      </c>
      <c r="N190" s="109">
        <v>66534.3</v>
      </c>
      <c r="O190" s="108">
        <f t="shared" si="66"/>
        <v>642513.186</v>
      </c>
      <c r="P190" s="108">
        <f t="shared" si="67"/>
        <v>66534.3</v>
      </c>
      <c r="Q190" s="108">
        <f t="shared" si="64"/>
        <v>499732.47800000006</v>
      </c>
      <c r="R190" s="108">
        <f t="shared" si="65"/>
        <v>499732.47800000006</v>
      </c>
      <c r="S190" s="108">
        <f t="shared" si="65"/>
        <v>499732.47800000006</v>
      </c>
      <c r="T190" s="108">
        <v>43829</v>
      </c>
      <c r="U190" s="24" t="s">
        <v>184</v>
      </c>
      <c r="V190" s="11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08">
        <v>2141977.3</v>
      </c>
      <c r="N191" s="109">
        <v>66534.3</v>
      </c>
      <c r="O191" s="108">
        <f t="shared" si="66"/>
        <v>642593.19</v>
      </c>
      <c r="P191" s="108">
        <f t="shared" si="67"/>
        <v>66534.3</v>
      </c>
      <c r="Q191" s="108">
        <f t="shared" si="64"/>
        <v>499794.7033333333</v>
      </c>
      <c r="R191" s="108">
        <f t="shared" si="65"/>
        <v>499794.7033333333</v>
      </c>
      <c r="S191" s="108">
        <f t="shared" si="65"/>
        <v>499794.7033333333</v>
      </c>
      <c r="T191" s="108">
        <v>43829</v>
      </c>
      <c r="U191" s="24" t="s">
        <v>184</v>
      </c>
      <c r="V191" s="11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08">
        <v>2149302.74</v>
      </c>
      <c r="N192" s="109">
        <v>66534.3</v>
      </c>
      <c r="O192" s="108">
        <f t="shared" si="66"/>
        <v>644790.822</v>
      </c>
      <c r="P192" s="108">
        <f t="shared" si="67"/>
        <v>66534.3</v>
      </c>
      <c r="Q192" s="108">
        <f t="shared" si="64"/>
        <v>501503.97266666667</v>
      </c>
      <c r="R192" s="108">
        <f t="shared" si="65"/>
        <v>501503.97266666667</v>
      </c>
      <c r="S192" s="108">
        <f t="shared" si="65"/>
        <v>501503.97266666667</v>
      </c>
      <c r="T192" s="108">
        <v>43829</v>
      </c>
      <c r="U192" s="24" t="s">
        <v>184</v>
      </c>
      <c r="V192" s="11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08">
        <v>6488502.58</v>
      </c>
      <c r="N193" s="109">
        <v>199602.9</v>
      </c>
      <c r="O193" s="108">
        <f t="shared" si="66"/>
        <v>1946550.774</v>
      </c>
      <c r="P193" s="108">
        <f t="shared" si="67"/>
        <v>199602.9</v>
      </c>
      <c r="Q193" s="108">
        <f t="shared" si="64"/>
        <v>1513983.9353333332</v>
      </c>
      <c r="R193" s="108">
        <f t="shared" si="65"/>
        <v>1513983.9353333332</v>
      </c>
      <c r="S193" s="108">
        <f t="shared" si="65"/>
        <v>1513983.9353333332</v>
      </c>
      <c r="T193" s="108">
        <v>43829</v>
      </c>
      <c r="U193" s="24" t="s">
        <v>184</v>
      </c>
      <c r="V193" s="11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08">
        <v>6488502.58</v>
      </c>
      <c r="N194" s="109">
        <v>199602.9</v>
      </c>
      <c r="O194" s="108">
        <f t="shared" si="66"/>
        <v>1946550.774</v>
      </c>
      <c r="P194" s="108">
        <f t="shared" si="67"/>
        <v>199602.9</v>
      </c>
      <c r="Q194" s="108">
        <f t="shared" si="64"/>
        <v>1513983.9353333332</v>
      </c>
      <c r="R194" s="108">
        <f t="shared" si="65"/>
        <v>1513983.9353333332</v>
      </c>
      <c r="S194" s="108">
        <f t="shared" si="65"/>
        <v>1513983.9353333332</v>
      </c>
      <c r="T194" s="108">
        <v>43829</v>
      </c>
      <c r="U194" s="24" t="s">
        <v>184</v>
      </c>
      <c r="V194" s="11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08">
        <v>2141977.3</v>
      </c>
      <c r="N195" s="109">
        <v>66534.3</v>
      </c>
      <c r="O195" s="108">
        <f t="shared" si="66"/>
        <v>642593.19</v>
      </c>
      <c r="P195" s="108">
        <f t="shared" si="67"/>
        <v>66534.3</v>
      </c>
      <c r="Q195" s="108">
        <f t="shared" si="64"/>
        <v>499794.7033333333</v>
      </c>
      <c r="R195" s="108">
        <f t="shared" si="65"/>
        <v>499794.7033333333</v>
      </c>
      <c r="S195" s="108">
        <f t="shared" si="65"/>
        <v>499794.7033333333</v>
      </c>
      <c r="T195" s="108">
        <v>43829</v>
      </c>
      <c r="U195" s="24" t="s">
        <v>184</v>
      </c>
      <c r="V195" s="11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08">
        <v>2141977.3</v>
      </c>
      <c r="N196" s="109">
        <v>66534.3</v>
      </c>
      <c r="O196" s="108">
        <f t="shared" si="66"/>
        <v>642593.19</v>
      </c>
      <c r="P196" s="108">
        <f t="shared" si="67"/>
        <v>66534.3</v>
      </c>
      <c r="Q196" s="108">
        <f t="shared" si="64"/>
        <v>499794.7033333333</v>
      </c>
      <c r="R196" s="108">
        <f t="shared" si="65"/>
        <v>499794.7033333333</v>
      </c>
      <c r="S196" s="108">
        <f t="shared" si="65"/>
        <v>499794.7033333333</v>
      </c>
      <c r="T196" s="108">
        <v>43829</v>
      </c>
      <c r="U196" s="24" t="s">
        <v>184</v>
      </c>
      <c r="V196" s="11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08">
        <v>4314706.58</v>
      </c>
      <c r="N197" s="109">
        <v>133068.6</v>
      </c>
      <c r="O197" s="108">
        <f t="shared" si="66"/>
        <v>1294411.9740000002</v>
      </c>
      <c r="P197" s="108">
        <f t="shared" si="67"/>
        <v>133068.6</v>
      </c>
      <c r="Q197" s="108">
        <f t="shared" si="64"/>
        <v>1006764.8686666666</v>
      </c>
      <c r="R197" s="108">
        <f t="shared" si="65"/>
        <v>1006764.8686666666</v>
      </c>
      <c r="S197" s="108">
        <f t="shared" si="65"/>
        <v>1006764.8686666666</v>
      </c>
      <c r="T197" s="108">
        <v>43829</v>
      </c>
      <c r="U197" s="24" t="s">
        <v>184</v>
      </c>
      <c r="V197" s="11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08">
        <v>2141904.14</v>
      </c>
      <c r="N198" s="109">
        <v>66534.3</v>
      </c>
      <c r="O198" s="108">
        <f t="shared" si="66"/>
        <v>642571.2420000001</v>
      </c>
      <c r="P198" s="108">
        <f t="shared" si="67"/>
        <v>66534.3</v>
      </c>
      <c r="Q198" s="108">
        <f t="shared" si="64"/>
        <v>499777.6326666667</v>
      </c>
      <c r="R198" s="108">
        <f t="shared" si="65"/>
        <v>499777.6326666667</v>
      </c>
      <c r="S198" s="108">
        <f t="shared" si="65"/>
        <v>499777.6326666667</v>
      </c>
      <c r="T198" s="108">
        <v>43829</v>
      </c>
      <c r="U198" s="24" t="s">
        <v>184</v>
      </c>
      <c r="V198" s="11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08">
        <v>2141904.14</v>
      </c>
      <c r="N199" s="109">
        <v>66534.3</v>
      </c>
      <c r="O199" s="108">
        <f t="shared" si="66"/>
        <v>642571.2420000001</v>
      </c>
      <c r="P199" s="108">
        <f t="shared" si="67"/>
        <v>66534.3</v>
      </c>
      <c r="Q199" s="108">
        <f t="shared" si="64"/>
        <v>499777.6326666667</v>
      </c>
      <c r="R199" s="108">
        <f t="shared" si="65"/>
        <v>499777.6326666667</v>
      </c>
      <c r="S199" s="108">
        <f t="shared" si="65"/>
        <v>499777.6326666667</v>
      </c>
      <c r="T199" s="108">
        <v>43829</v>
      </c>
      <c r="U199" s="24" t="s">
        <v>184</v>
      </c>
      <c r="V199" s="11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08">
        <v>2141904.14</v>
      </c>
      <c r="N200" s="109">
        <v>66534.3</v>
      </c>
      <c r="O200" s="108">
        <f t="shared" si="66"/>
        <v>642571.2420000001</v>
      </c>
      <c r="P200" s="108">
        <f t="shared" si="67"/>
        <v>66534.3</v>
      </c>
      <c r="Q200" s="108">
        <f t="shared" si="64"/>
        <v>499777.6326666667</v>
      </c>
      <c r="R200" s="108">
        <f t="shared" si="65"/>
        <v>499777.6326666667</v>
      </c>
      <c r="S200" s="108">
        <f t="shared" si="65"/>
        <v>499777.6326666667</v>
      </c>
      <c r="T200" s="108">
        <v>43829</v>
      </c>
      <c r="U200" s="24" t="s">
        <v>184</v>
      </c>
      <c r="V200" s="11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08">
        <v>4326927.84</v>
      </c>
      <c r="N201" s="109">
        <v>133068.6</v>
      </c>
      <c r="O201" s="108">
        <f t="shared" si="66"/>
        <v>1298078.352</v>
      </c>
      <c r="P201" s="108">
        <f t="shared" si="67"/>
        <v>133068.6</v>
      </c>
      <c r="Q201" s="108">
        <f t="shared" si="64"/>
        <v>1009616.4959999999</v>
      </c>
      <c r="R201" s="108">
        <f t="shared" si="65"/>
        <v>1009616.4959999999</v>
      </c>
      <c r="S201" s="108">
        <f t="shared" si="65"/>
        <v>1009616.4959999999</v>
      </c>
      <c r="T201" s="108">
        <v>43829</v>
      </c>
      <c r="U201" s="24" t="s">
        <v>184</v>
      </c>
      <c r="V201" s="11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08">
        <v>2159010.6</v>
      </c>
      <c r="N202" s="109">
        <v>66534.3</v>
      </c>
      <c r="O202" s="108">
        <f t="shared" si="66"/>
        <v>647703.18</v>
      </c>
      <c r="P202" s="108">
        <f t="shared" si="67"/>
        <v>66534.3</v>
      </c>
      <c r="Q202" s="108">
        <f t="shared" si="64"/>
        <v>503769.13999999996</v>
      </c>
      <c r="R202" s="108">
        <f t="shared" si="65"/>
        <v>503769.13999999996</v>
      </c>
      <c r="S202" s="108">
        <f t="shared" si="65"/>
        <v>503769.13999999996</v>
      </c>
      <c r="T202" s="108">
        <v>43829</v>
      </c>
      <c r="U202" s="24" t="s">
        <v>184</v>
      </c>
      <c r="V202" s="11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09">
        <v>2363422</v>
      </c>
      <c r="N203" s="109">
        <v>74793.12</v>
      </c>
      <c r="O203" s="108">
        <f t="shared" si="66"/>
        <v>709026.6</v>
      </c>
      <c r="P203" s="108">
        <f t="shared" si="67"/>
        <v>74793.12</v>
      </c>
      <c r="Q203" s="108">
        <f t="shared" si="64"/>
        <v>551465.1333333333</v>
      </c>
      <c r="R203" s="108">
        <f t="shared" si="65"/>
        <v>551465.1333333333</v>
      </c>
      <c r="S203" s="108">
        <f t="shared" si="65"/>
        <v>551465.1333333333</v>
      </c>
      <c r="T203" s="108">
        <v>43829</v>
      </c>
      <c r="U203" s="24" t="s">
        <v>184</v>
      </c>
      <c r="V203" s="11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09">
        <v>8652927.02</v>
      </c>
      <c r="N204" s="109">
        <v>266137.2</v>
      </c>
      <c r="O204" s="108">
        <f t="shared" si="66"/>
        <v>2595878.106</v>
      </c>
      <c r="P204" s="108">
        <f t="shared" si="67"/>
        <v>266137.2</v>
      </c>
      <c r="Q204" s="108">
        <f t="shared" si="64"/>
        <v>2019016.3046666663</v>
      </c>
      <c r="R204" s="108">
        <f aca="true" t="shared" si="69" ref="R204:S219">Q204</f>
        <v>2019016.3046666663</v>
      </c>
      <c r="S204" s="108">
        <f t="shared" si="69"/>
        <v>2019016.3046666663</v>
      </c>
      <c r="T204" s="108">
        <v>43829</v>
      </c>
      <c r="U204" s="24" t="s">
        <v>184</v>
      </c>
      <c r="V204" s="11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08">
        <v>8609886.52</v>
      </c>
      <c r="N205" s="109">
        <v>266137.2</v>
      </c>
      <c r="O205" s="108">
        <f t="shared" si="66"/>
        <v>2582965.956</v>
      </c>
      <c r="P205" s="108">
        <f t="shared" si="67"/>
        <v>266137.2</v>
      </c>
      <c r="Q205" s="108">
        <f t="shared" si="64"/>
        <v>2008973.521333333</v>
      </c>
      <c r="R205" s="108">
        <f t="shared" si="69"/>
        <v>2008973.521333333</v>
      </c>
      <c r="S205" s="108">
        <f t="shared" si="69"/>
        <v>2008973.521333333</v>
      </c>
      <c r="T205" s="108">
        <v>43829</v>
      </c>
      <c r="U205" s="24" t="s">
        <v>184</v>
      </c>
      <c r="V205" s="11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08">
        <v>6468901.6</v>
      </c>
      <c r="N206" s="109">
        <v>199602.9</v>
      </c>
      <c r="O206" s="108">
        <f t="shared" si="66"/>
        <v>1940670.48</v>
      </c>
      <c r="P206" s="108">
        <f t="shared" si="67"/>
        <v>199602.9</v>
      </c>
      <c r="Q206" s="108">
        <f t="shared" si="64"/>
        <v>1509410.373333333</v>
      </c>
      <c r="R206" s="108">
        <f t="shared" si="69"/>
        <v>1509410.373333333</v>
      </c>
      <c r="S206" s="108">
        <f t="shared" si="69"/>
        <v>1509410.373333333</v>
      </c>
      <c r="T206" s="108">
        <v>43829</v>
      </c>
      <c r="U206" s="24" t="s">
        <v>184</v>
      </c>
      <c r="V206" s="11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08">
        <v>8652287.459999999</v>
      </c>
      <c r="N207" s="109">
        <v>266137.2</v>
      </c>
      <c r="O207" s="108">
        <f t="shared" si="66"/>
        <v>2595686.238</v>
      </c>
      <c r="P207" s="108">
        <f t="shared" si="67"/>
        <v>266137.2</v>
      </c>
      <c r="Q207" s="108">
        <f t="shared" si="64"/>
        <v>2018867.0739999998</v>
      </c>
      <c r="R207" s="108">
        <f t="shared" si="69"/>
        <v>2018867.0739999998</v>
      </c>
      <c r="S207" s="108">
        <f t="shared" si="69"/>
        <v>2018867.0739999998</v>
      </c>
      <c r="T207" s="108">
        <v>43829</v>
      </c>
      <c r="U207" s="24" t="s">
        <v>184</v>
      </c>
      <c r="V207" s="11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08">
        <v>8643213.26</v>
      </c>
      <c r="N208" s="109">
        <v>266137.2</v>
      </c>
      <c r="O208" s="108">
        <f t="shared" si="66"/>
        <v>2592963.9779999997</v>
      </c>
      <c r="P208" s="108">
        <f t="shared" si="67"/>
        <v>266137.2</v>
      </c>
      <c r="Q208" s="108">
        <f t="shared" si="64"/>
        <v>2016749.7606666666</v>
      </c>
      <c r="R208" s="108">
        <f t="shared" si="69"/>
        <v>2016749.7606666666</v>
      </c>
      <c r="S208" s="108">
        <f t="shared" si="69"/>
        <v>2016749.7606666666</v>
      </c>
      <c r="T208" s="108">
        <v>43829</v>
      </c>
      <c r="U208" s="24" t="s">
        <v>184</v>
      </c>
      <c r="V208" s="11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16">
        <v>4775272.38</v>
      </c>
      <c r="N209" s="109">
        <v>149586.24</v>
      </c>
      <c r="O209" s="108">
        <f t="shared" si="66"/>
        <v>1432581.7140000002</v>
      </c>
      <c r="P209" s="108">
        <f t="shared" si="67"/>
        <v>149586.24</v>
      </c>
      <c r="Q209" s="108">
        <f t="shared" si="64"/>
        <v>1114230.2219999998</v>
      </c>
      <c r="R209" s="108">
        <f t="shared" si="69"/>
        <v>1114230.2219999998</v>
      </c>
      <c r="S209" s="108">
        <f t="shared" si="69"/>
        <v>1114230.2219999998</v>
      </c>
      <c r="T209" s="108">
        <v>43829</v>
      </c>
      <c r="U209" s="24" t="s">
        <v>184</v>
      </c>
      <c r="V209" s="11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08">
        <v>2670042.64</v>
      </c>
      <c r="N210" s="109">
        <v>66534.3</v>
      </c>
      <c r="O210" s="108">
        <f t="shared" si="66"/>
        <v>801012.792</v>
      </c>
      <c r="P210" s="108">
        <f t="shared" si="67"/>
        <v>66534.3</v>
      </c>
      <c r="Q210" s="108">
        <f t="shared" si="64"/>
        <v>623009.9493333334</v>
      </c>
      <c r="R210" s="108">
        <f t="shared" si="69"/>
        <v>623009.9493333334</v>
      </c>
      <c r="S210" s="108">
        <f t="shared" si="69"/>
        <v>623009.9493333334</v>
      </c>
      <c r="T210" s="108">
        <v>43829</v>
      </c>
      <c r="U210" s="24" t="s">
        <v>184</v>
      </c>
      <c r="V210" s="11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08">
        <v>2402822.2</v>
      </c>
      <c r="N211" s="108">
        <v>66534.3</v>
      </c>
      <c r="O211" s="110">
        <f t="shared" si="66"/>
        <v>720846.66</v>
      </c>
      <c r="P211" s="108">
        <f t="shared" si="67"/>
        <v>66534.3</v>
      </c>
      <c r="Q211" s="110">
        <f t="shared" si="64"/>
        <v>560658.5133333333</v>
      </c>
      <c r="R211" s="110">
        <f t="shared" si="69"/>
        <v>560658.5133333333</v>
      </c>
      <c r="S211" s="110">
        <f t="shared" si="69"/>
        <v>560658.5133333333</v>
      </c>
      <c r="T211" s="110">
        <v>43829</v>
      </c>
      <c r="U211" s="36" t="s">
        <v>184</v>
      </c>
      <c r="V211" s="116">
        <f t="shared" si="70"/>
        <v>0</v>
      </c>
      <c r="W211" s="100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08">
        <v>2478450.76</v>
      </c>
      <c r="N212" s="108">
        <v>66534.3</v>
      </c>
      <c r="O212" s="110">
        <f t="shared" si="66"/>
        <v>743535.228</v>
      </c>
      <c r="P212" s="108">
        <f t="shared" si="67"/>
        <v>66534.3</v>
      </c>
      <c r="Q212" s="110">
        <f t="shared" si="64"/>
        <v>578305.1773333332</v>
      </c>
      <c r="R212" s="110">
        <f t="shared" si="69"/>
        <v>578305.1773333332</v>
      </c>
      <c r="S212" s="110">
        <f t="shared" si="69"/>
        <v>578305.1773333332</v>
      </c>
      <c r="T212" s="110">
        <v>43829</v>
      </c>
      <c r="U212" s="36" t="s">
        <v>184</v>
      </c>
      <c r="V212" s="116">
        <f t="shared" si="70"/>
        <v>0</v>
      </c>
      <c r="W212" s="100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08">
        <v>7026040.96</v>
      </c>
      <c r="N213" s="108">
        <v>199602.90000000002</v>
      </c>
      <c r="O213" s="110">
        <f t="shared" si="66"/>
        <v>2107812.288</v>
      </c>
      <c r="P213" s="108">
        <f t="shared" si="67"/>
        <v>199602.90000000002</v>
      </c>
      <c r="Q213" s="110">
        <f t="shared" si="64"/>
        <v>1639409.5573333334</v>
      </c>
      <c r="R213" s="110">
        <f t="shared" si="69"/>
        <v>1639409.5573333334</v>
      </c>
      <c r="S213" s="110">
        <f t="shared" si="69"/>
        <v>1639409.5573333334</v>
      </c>
      <c r="T213" s="110">
        <v>43829</v>
      </c>
      <c r="U213" s="36" t="s">
        <v>184</v>
      </c>
      <c r="V213" s="116">
        <f t="shared" si="70"/>
        <v>0</v>
      </c>
      <c r="W213" s="100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09">
        <v>7019333.84</v>
      </c>
      <c r="N214" s="108">
        <v>199602.90000000002</v>
      </c>
      <c r="O214" s="110">
        <f t="shared" si="66"/>
        <v>2105800.152</v>
      </c>
      <c r="P214" s="108">
        <f t="shared" si="67"/>
        <v>199602.90000000002</v>
      </c>
      <c r="Q214" s="110">
        <f>(M214-O214)/3</f>
        <v>1637844.5626666667</v>
      </c>
      <c r="R214" s="110">
        <f>Q214</f>
        <v>1637844.5626666667</v>
      </c>
      <c r="S214" s="110">
        <f>R214</f>
        <v>1637844.5626666667</v>
      </c>
      <c r="T214" s="110">
        <v>43829</v>
      </c>
      <c r="U214" s="36" t="s">
        <v>184</v>
      </c>
      <c r="V214" s="11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08">
        <v>3680239.46</v>
      </c>
      <c r="N215" s="108">
        <v>66534.3</v>
      </c>
      <c r="O215" s="110">
        <f t="shared" si="66"/>
        <v>1104071.838</v>
      </c>
      <c r="P215" s="108">
        <f t="shared" si="67"/>
        <v>66534.3</v>
      </c>
      <c r="Q215" s="110">
        <f>(M215-O215)/3</f>
        <v>858722.5406666667</v>
      </c>
      <c r="R215" s="110">
        <f>Q215</f>
        <v>858722.5406666667</v>
      </c>
      <c r="S215" s="110">
        <f>R215</f>
        <v>858722.5406666667</v>
      </c>
      <c r="T215" s="110">
        <v>43829</v>
      </c>
      <c r="U215" s="36" t="s">
        <v>184</v>
      </c>
      <c r="V215" s="116">
        <f t="shared" si="70"/>
        <v>0</v>
      </c>
      <c r="W215" s="100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08">
        <v>14104556.52</v>
      </c>
      <c r="N216" s="108">
        <v>399205.8</v>
      </c>
      <c r="O216" s="110">
        <f t="shared" si="66"/>
        <v>4231366.955999999</v>
      </c>
      <c r="P216" s="108">
        <f t="shared" si="67"/>
        <v>399205.8</v>
      </c>
      <c r="Q216" s="110">
        <f t="shared" si="64"/>
        <v>3291063.1879999996</v>
      </c>
      <c r="R216" s="110">
        <f t="shared" si="69"/>
        <v>3291063.1879999996</v>
      </c>
      <c r="S216" s="110">
        <f t="shared" si="69"/>
        <v>3291063.1879999996</v>
      </c>
      <c r="T216" s="110">
        <v>43829</v>
      </c>
      <c r="U216" s="36" t="s">
        <v>184</v>
      </c>
      <c r="V216" s="116">
        <f t="shared" si="70"/>
        <v>0</v>
      </c>
      <c r="W216" s="100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08">
        <v>2427414.58</v>
      </c>
      <c r="N217" s="108">
        <v>66534.3</v>
      </c>
      <c r="O217" s="110">
        <f t="shared" si="66"/>
        <v>728224.3740000001</v>
      </c>
      <c r="P217" s="108">
        <f t="shared" si="67"/>
        <v>66534.3</v>
      </c>
      <c r="Q217" s="110">
        <f t="shared" si="64"/>
        <v>566396.7353333334</v>
      </c>
      <c r="R217" s="110">
        <f t="shared" si="69"/>
        <v>566396.7353333334</v>
      </c>
      <c r="S217" s="110">
        <f t="shared" si="69"/>
        <v>566396.7353333334</v>
      </c>
      <c r="T217" s="110">
        <v>43829</v>
      </c>
      <c r="U217" s="36" t="s">
        <v>184</v>
      </c>
      <c r="V217" s="116">
        <f t="shared" si="70"/>
        <v>0</v>
      </c>
      <c r="W217" s="100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08">
        <v>2427414.58</v>
      </c>
      <c r="N218" s="108">
        <v>66534.3</v>
      </c>
      <c r="O218" s="110">
        <f t="shared" si="66"/>
        <v>728224.3740000001</v>
      </c>
      <c r="P218" s="108">
        <f t="shared" si="67"/>
        <v>66534.3</v>
      </c>
      <c r="Q218" s="110">
        <f t="shared" si="64"/>
        <v>566396.7353333334</v>
      </c>
      <c r="R218" s="110">
        <f t="shared" si="69"/>
        <v>566396.7353333334</v>
      </c>
      <c r="S218" s="110">
        <f t="shared" si="69"/>
        <v>566396.7353333334</v>
      </c>
      <c r="T218" s="110">
        <v>43829</v>
      </c>
      <c r="U218" s="36" t="s">
        <v>184</v>
      </c>
      <c r="V218" s="116">
        <f t="shared" si="70"/>
        <v>0</v>
      </c>
      <c r="W218" s="100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08">
        <v>2383923.32</v>
      </c>
      <c r="N219" s="108">
        <v>66534.3</v>
      </c>
      <c r="O219" s="110">
        <f t="shared" si="66"/>
        <v>715176.9959999999</v>
      </c>
      <c r="P219" s="108">
        <f t="shared" si="67"/>
        <v>66534.3</v>
      </c>
      <c r="Q219" s="110">
        <f t="shared" si="64"/>
        <v>556248.7746666666</v>
      </c>
      <c r="R219" s="110">
        <f t="shared" si="69"/>
        <v>556248.7746666666</v>
      </c>
      <c r="S219" s="110">
        <f t="shared" si="69"/>
        <v>556248.7746666666</v>
      </c>
      <c r="T219" s="110">
        <v>43829</v>
      </c>
      <c r="U219" s="36" t="s">
        <v>184</v>
      </c>
      <c r="V219" s="116">
        <f t="shared" si="70"/>
        <v>0</v>
      </c>
      <c r="W219" s="100"/>
    </row>
    <row r="220" spans="1:23" s="15" customFormat="1" ht="18" customHeight="1">
      <c r="A220" s="428" t="s">
        <v>23</v>
      </c>
      <c r="B220" s="429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11">
        <f t="shared" si="71"/>
        <v>458757105.4399997</v>
      </c>
      <c r="N220" s="111">
        <f t="shared" si="71"/>
        <v>13320229.40000001</v>
      </c>
      <c r="O220" s="111">
        <f t="shared" si="71"/>
        <v>137627131.63200003</v>
      </c>
      <c r="P220" s="111">
        <f t="shared" si="71"/>
        <v>13320229.40000001</v>
      </c>
      <c r="Q220" s="111">
        <f t="shared" si="71"/>
        <v>107043324.60266666</v>
      </c>
      <c r="R220" s="111">
        <f t="shared" si="71"/>
        <v>107043324.60266666</v>
      </c>
      <c r="S220" s="111">
        <f t="shared" si="71"/>
        <v>107043324.60266666</v>
      </c>
      <c r="T220" s="111" t="s">
        <v>261</v>
      </c>
      <c r="U220" s="12" t="s">
        <v>261</v>
      </c>
      <c r="V220" s="116">
        <f t="shared" si="70"/>
        <v>-3.2782554626464844E-07</v>
      </c>
      <c r="W220" s="94"/>
    </row>
    <row r="221" spans="1:23" ht="18" customHeight="1">
      <c r="A221" s="338" t="s">
        <v>180</v>
      </c>
      <c r="B221" s="339"/>
      <c r="C221" s="339"/>
      <c r="D221" s="339"/>
      <c r="E221" s="339"/>
      <c r="F221" s="339"/>
      <c r="G221" s="339"/>
      <c r="H221" s="339"/>
      <c r="I221" s="339"/>
      <c r="J221" s="339"/>
      <c r="K221" s="339"/>
      <c r="L221" s="339"/>
      <c r="M221" s="339"/>
      <c r="N221" s="339"/>
      <c r="O221" s="339"/>
      <c r="P221" s="339"/>
      <c r="Q221" s="339"/>
      <c r="R221" s="339"/>
      <c r="S221" s="339"/>
      <c r="T221" s="339"/>
      <c r="U221" s="340"/>
      <c r="V221" s="116">
        <f t="shared" si="70"/>
        <v>0</v>
      </c>
      <c r="W221" s="88"/>
    </row>
    <row r="222" spans="1:23" ht="18" customHeight="1">
      <c r="A222" s="345" t="s">
        <v>41</v>
      </c>
      <c r="B222" s="346"/>
      <c r="C222" s="346"/>
      <c r="D222" s="346"/>
      <c r="E222" s="347"/>
      <c r="F222" s="332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4"/>
      <c r="V222" s="11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0">
        <v>12079778</v>
      </c>
      <c r="N223" s="110">
        <v>332671.5</v>
      </c>
      <c r="O223" s="110">
        <f>M223*30/100</f>
        <v>3623933.4</v>
      </c>
      <c r="P223" s="108">
        <f>N223</f>
        <v>332671.5</v>
      </c>
      <c r="Q223" s="110">
        <f>(M223-O223)/3</f>
        <v>2818614.8666666667</v>
      </c>
      <c r="R223" s="110">
        <f>Q223</f>
        <v>2818614.8666666667</v>
      </c>
      <c r="S223" s="110">
        <f>R223</f>
        <v>2818614.8666666667</v>
      </c>
      <c r="T223" s="110">
        <v>43829</v>
      </c>
      <c r="U223" s="36" t="s">
        <v>184</v>
      </c>
      <c r="V223" s="116">
        <f t="shared" si="70"/>
        <v>0</v>
      </c>
      <c r="W223" s="100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08">
        <v>4291422.82</v>
      </c>
      <c r="N224" s="108">
        <v>130286.16</v>
      </c>
      <c r="O224" s="108">
        <f>M224*30/100</f>
        <v>1287426.8460000001</v>
      </c>
      <c r="P224" s="108">
        <f>N224</f>
        <v>130286.16</v>
      </c>
      <c r="Q224" s="108">
        <f>(M224-O224)/3</f>
        <v>1001331.9913333334</v>
      </c>
      <c r="R224" s="108">
        <f>Q224</f>
        <v>1001331.9913333334</v>
      </c>
      <c r="S224" s="108">
        <f>R224</f>
        <v>1001331.9913333334</v>
      </c>
      <c r="T224" s="108">
        <v>43829</v>
      </c>
      <c r="U224" s="24" t="s">
        <v>184</v>
      </c>
      <c r="V224" s="116">
        <f t="shared" si="70"/>
        <v>0</v>
      </c>
      <c r="W224" s="90"/>
    </row>
    <row r="225" spans="1:23" ht="18" customHeight="1">
      <c r="A225" s="426" t="s">
        <v>23</v>
      </c>
      <c r="B225" s="427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09">
        <f>SUM(I223:I224)</f>
        <v>27951.75</v>
      </c>
      <c r="J225" s="109">
        <f>SUM(J223:J224)</f>
        <v>24311.55</v>
      </c>
      <c r="K225" s="109">
        <f>SUM(K223:K224)</f>
        <v>19058.809999999998</v>
      </c>
      <c r="L225" s="109">
        <f>SUM(L223:L224)</f>
        <v>966</v>
      </c>
      <c r="M225" s="109">
        <f>SUM(M223:M224)</f>
        <v>16371200.82</v>
      </c>
      <c r="N225" s="109">
        <f aca="true" t="shared" si="72" ref="N225:S225">SUM(N223:N224)</f>
        <v>462957.66000000003</v>
      </c>
      <c r="O225" s="109">
        <f t="shared" si="72"/>
        <v>4911360.246</v>
      </c>
      <c r="P225" s="109">
        <f t="shared" si="72"/>
        <v>462957.66000000003</v>
      </c>
      <c r="Q225" s="109">
        <f t="shared" si="72"/>
        <v>3819946.858</v>
      </c>
      <c r="R225" s="109">
        <f t="shared" si="72"/>
        <v>3819946.858</v>
      </c>
      <c r="S225" s="109">
        <f t="shared" si="72"/>
        <v>3819946.858</v>
      </c>
      <c r="T225" s="109" t="s">
        <v>261</v>
      </c>
      <c r="U225" s="6" t="s">
        <v>261</v>
      </c>
      <c r="V225" s="116">
        <f t="shared" si="70"/>
        <v>0</v>
      </c>
      <c r="W225" s="91"/>
    </row>
    <row r="226" spans="1:23" s="15" customFormat="1" ht="18" customHeight="1">
      <c r="A226" s="428" t="s">
        <v>42</v>
      </c>
      <c r="B226" s="429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11">
        <f t="shared" si="73"/>
        <v>16371200.82</v>
      </c>
      <c r="N226" s="111">
        <f t="shared" si="73"/>
        <v>462957.66000000003</v>
      </c>
      <c r="O226" s="111">
        <f t="shared" si="73"/>
        <v>4911360.246</v>
      </c>
      <c r="P226" s="111">
        <f t="shared" si="73"/>
        <v>462957.66000000003</v>
      </c>
      <c r="Q226" s="111">
        <f t="shared" si="73"/>
        <v>3819946.858</v>
      </c>
      <c r="R226" s="111">
        <f t="shared" si="73"/>
        <v>3819946.858</v>
      </c>
      <c r="S226" s="111">
        <f t="shared" si="73"/>
        <v>3819946.858</v>
      </c>
      <c r="T226" s="109" t="s">
        <v>261</v>
      </c>
      <c r="U226" s="6" t="s">
        <v>261</v>
      </c>
      <c r="V226" s="116">
        <f t="shared" si="70"/>
        <v>0</v>
      </c>
      <c r="W226" s="91"/>
    </row>
    <row r="227" spans="1:23" s="15" customFormat="1" ht="18" customHeight="1">
      <c r="A227" s="345" t="s">
        <v>43</v>
      </c>
      <c r="B227" s="347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11">
        <f>H226+H220+H122+H115+H104+H80+H70+H60+H24</f>
        <v>400</v>
      </c>
      <c r="I227" s="111">
        <f>I226+I220+I122+I115+I104+I80+I70+I60+I24</f>
        <v>963528.7199999999</v>
      </c>
      <c r="J227" s="111">
        <f>J226+J220+J122+J115+J104+J80+J70+J60+J24</f>
        <v>743387.03</v>
      </c>
      <c r="K227" s="111">
        <f>K226+K220+K122+K115+K104+K80+K70+K60+K24</f>
        <v>572003.27</v>
      </c>
      <c r="L227" s="111">
        <f>L226+L220+L122+L115+L104+L80+L70+L60+L24</f>
        <v>41111</v>
      </c>
      <c r="M227" s="111">
        <f aca="true" t="shared" si="74" ref="M227:S227">M226+M220+M122+M115+M104+M80+M70+M60+M24</f>
        <v>915305454.3799996</v>
      </c>
      <c r="N227" s="111">
        <f t="shared" si="74"/>
        <v>26531018.080000013</v>
      </c>
      <c r="O227" s="111">
        <f t="shared" si="74"/>
        <v>274591636.314</v>
      </c>
      <c r="P227" s="111">
        <f t="shared" si="74"/>
        <v>26531018.080000013</v>
      </c>
      <c r="Q227" s="111">
        <f t="shared" si="74"/>
        <v>213571272.68866664</v>
      </c>
      <c r="R227" s="111">
        <f t="shared" si="74"/>
        <v>213571272.68866664</v>
      </c>
      <c r="S227" s="111">
        <f t="shared" si="74"/>
        <v>213571272.68866664</v>
      </c>
      <c r="T227" s="111" t="s">
        <v>261</v>
      </c>
      <c r="U227" s="12" t="s">
        <v>261</v>
      </c>
      <c r="V227" s="11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11">
        <f>M227+N227</f>
        <v>941836472.4599997</v>
      </c>
      <c r="N228" s="111"/>
      <c r="O228" s="111">
        <f>O227</f>
        <v>274591636.314</v>
      </c>
      <c r="P228" s="111">
        <f>P227</f>
        <v>26531018.080000013</v>
      </c>
      <c r="Q228" s="111">
        <f>Q227</f>
        <v>213571272.68866664</v>
      </c>
      <c r="R228" s="111">
        <f>R227</f>
        <v>213571272.68866664</v>
      </c>
      <c r="S228" s="111">
        <f>S227</f>
        <v>213571272.68866664</v>
      </c>
      <c r="T228" s="117"/>
      <c r="U228" s="94"/>
      <c r="V228" s="11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11">
        <f>M227*0.0214</f>
        <v>19587536.72373199</v>
      </c>
      <c r="N229" s="111"/>
      <c r="O229" s="111">
        <f>M229</f>
        <v>19587536.72373199</v>
      </c>
      <c r="P229" s="111"/>
      <c r="Q229" s="111"/>
      <c r="R229" s="111"/>
      <c r="S229" s="111"/>
      <c r="T229" s="117"/>
      <c r="U229" s="94"/>
      <c r="V229" s="11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11">
        <f>M229+M228</f>
        <v>961424009.1837317</v>
      </c>
      <c r="N230" s="111">
        <f aca="true" t="shared" si="76" ref="N230:S230">N229+N228</f>
        <v>0</v>
      </c>
      <c r="O230" s="111">
        <f>O229+O228</f>
        <v>294179173.037732</v>
      </c>
      <c r="P230" s="111">
        <f t="shared" si="76"/>
        <v>26531018.080000013</v>
      </c>
      <c r="Q230" s="111">
        <f>Q229+Q228</f>
        <v>213571272.68866664</v>
      </c>
      <c r="R230" s="111">
        <f t="shared" si="76"/>
        <v>213571272.68866664</v>
      </c>
      <c r="S230" s="111">
        <f t="shared" si="76"/>
        <v>213571272.68866664</v>
      </c>
      <c r="T230" s="117"/>
      <c r="U230" s="94"/>
      <c r="V230" s="116">
        <f t="shared" si="75"/>
        <v>-2.980232238769531E-07</v>
      </c>
      <c r="W230" s="94"/>
    </row>
    <row r="231" spans="1:22" ht="18" customHeight="1">
      <c r="A231" s="101" t="e">
        <f>A224-'раздел 1 2020'!#REF!-'2017'!A78</f>
        <v>#REF!</v>
      </c>
      <c r="B231" s="101"/>
      <c r="C231" s="101"/>
      <c r="D231" s="101"/>
      <c r="E231" s="101"/>
      <c r="F231" s="101"/>
      <c r="G231" s="101"/>
      <c r="H231" s="101">
        <f>H227-'2017'!H81-'раздел 1 2020'!H155</f>
        <v>13</v>
      </c>
      <c r="I231" s="101">
        <f>I227-'2017'!I81-'раздел 1 2020'!I155</f>
        <v>86317.61999999976</v>
      </c>
      <c r="J231" s="101"/>
      <c r="K231" s="101"/>
      <c r="L231" s="101"/>
      <c r="M231" s="101">
        <f>M230-'2017'!M84-'раздел 1 2020'!N157</f>
        <v>695844953.2438756</v>
      </c>
      <c r="N231" s="101">
        <f>N230-'2017'!N84-'раздел 1 2020'!P157</f>
        <v>-20403502.23</v>
      </c>
      <c r="O231" s="101" t="e">
        <f>O230-'2017'!O84-'раздел 1 2020'!#REF!</f>
        <v>#REF!</v>
      </c>
      <c r="P231" s="101" t="e">
        <f>P230-'2017'!P84-'раздел 1 2020'!#REF!</f>
        <v>#REF!</v>
      </c>
      <c r="Q231" s="101" t="e">
        <f>Q230-'2017'!Q84-'раздел 1 2020'!#REF!</f>
        <v>#REF!</v>
      </c>
      <c r="R231" s="101" t="e">
        <f>R230-'2017'!R84-'раздел 1 2020'!#REF!</f>
        <v>#REF!</v>
      </c>
      <c r="S231" s="101"/>
      <c r="T231" s="101" t="e">
        <f>T227-'2017'!T81-'раздел 1 2020'!R155</f>
        <v>#VALUE!</v>
      </c>
      <c r="V231" s="116" t="e">
        <f t="shared" si="75"/>
        <v>#REF!</v>
      </c>
    </row>
    <row r="232" spans="13:22" ht="18" customHeight="1">
      <c r="M232" s="102">
        <f>M227-'2017'!M81-'раздел 1 2020'!N155</f>
        <v>162803413.68799973</v>
      </c>
      <c r="N232" s="102">
        <f>N227-'2017'!N81-'раздел 1 2020'!P155</f>
        <v>-881081.1699999869</v>
      </c>
      <c r="O232" s="102" t="e">
        <f>O227-'2017'!O81-'раздел 1 2020'!#REF!</f>
        <v>#REF!</v>
      </c>
      <c r="P232" s="102" t="e">
        <f>P227-'2017'!P81-'раздел 1 2020'!#REF!</f>
        <v>#REF!</v>
      </c>
      <c r="Q232" s="102" t="e">
        <f>Q227-'2017'!Q81-'раздел 1 2020'!#REF!</f>
        <v>#REF!</v>
      </c>
      <c r="R232" s="102" t="e">
        <f>R227-'2017'!R81-'раздел 1 2020'!#REF!</f>
        <v>#REF!</v>
      </c>
      <c r="S232" s="102" t="e">
        <f>S227-'2017'!S81-'раздел 1 2020'!#REF!</f>
        <v>#REF!</v>
      </c>
      <c r="T232" s="102" t="e">
        <f>T227-'2017'!T81-'раздел 1 2020'!R155</f>
        <v>#VALUE!</v>
      </c>
      <c r="V232" s="116" t="e">
        <f t="shared" si="75"/>
        <v>#REF!</v>
      </c>
    </row>
    <row r="233" spans="13:22" ht="18" customHeight="1">
      <c r="M233" s="102" t="e">
        <f>M228-'2017'!M82-'раздел 1 2020'!#REF!</f>
        <v>#REF!</v>
      </c>
      <c r="N233" s="102" t="e">
        <f>N228-'2017'!N82-'раздел 1 2020'!#REF!</f>
        <v>#REF!</v>
      </c>
      <c r="O233" s="102" t="e">
        <f>O228-'2017'!O82-'раздел 1 2020'!#REF!</f>
        <v>#REF!</v>
      </c>
      <c r="P233" s="102" t="e">
        <f>P228-'2017'!P82-'раздел 1 2020'!#REF!</f>
        <v>#REF!</v>
      </c>
      <c r="Q233" s="102" t="e">
        <f>Q228-'2017'!Q82-'раздел 1 2020'!#REF!</f>
        <v>#REF!</v>
      </c>
      <c r="R233" s="102" t="e">
        <f>R228-'2017'!R82-'раздел 1 2020'!#REF!</f>
        <v>#REF!</v>
      </c>
      <c r="S233" s="102" t="e">
        <f>S228-'2017'!S82-'раздел 1 2020'!#REF!</f>
        <v>#REF!</v>
      </c>
      <c r="V233" s="116" t="e">
        <f t="shared" si="75"/>
        <v>#REF!</v>
      </c>
    </row>
    <row r="234" ht="18" customHeight="1">
      <c r="V234" s="116">
        <f t="shared" si="75"/>
        <v>0</v>
      </c>
    </row>
  </sheetData>
  <sheetProtection/>
  <mergeCells count="79">
    <mergeCell ref="A225:B225"/>
    <mergeCell ref="A226:B226"/>
    <mergeCell ref="A227:B227"/>
    <mergeCell ref="A123:U123"/>
    <mergeCell ref="A220:B220"/>
    <mergeCell ref="A221:U221"/>
    <mergeCell ref="A222:E222"/>
    <mergeCell ref="F222:U222"/>
    <mergeCell ref="A122:B122"/>
    <mergeCell ref="A114:B114"/>
    <mergeCell ref="A115:B115"/>
    <mergeCell ref="A116:U116"/>
    <mergeCell ref="A117:E117"/>
    <mergeCell ref="F117:U117"/>
    <mergeCell ref="A121:B121"/>
    <mergeCell ref="A105:U105"/>
    <mergeCell ref="A106:E106"/>
    <mergeCell ref="F106:U106"/>
    <mergeCell ref="A94:B94"/>
    <mergeCell ref="A95:E95"/>
    <mergeCell ref="F95:U95"/>
    <mergeCell ref="A103:B103"/>
    <mergeCell ref="A81:U81"/>
    <mergeCell ref="A82:E82"/>
    <mergeCell ref="F82:U82"/>
    <mergeCell ref="A86:B86"/>
    <mergeCell ref="A87:E87"/>
    <mergeCell ref="F87:U87"/>
    <mergeCell ref="A70:C70"/>
    <mergeCell ref="A71:U71"/>
    <mergeCell ref="A72:E72"/>
    <mergeCell ref="F72:U72"/>
    <mergeCell ref="A79:B79"/>
    <mergeCell ref="A80:B80"/>
    <mergeCell ref="A59:B59"/>
    <mergeCell ref="A60:B60"/>
    <mergeCell ref="A61:U61"/>
    <mergeCell ref="A62:E62"/>
    <mergeCell ref="F62:U62"/>
    <mergeCell ref="A69:B69"/>
    <mergeCell ref="A23:B23"/>
    <mergeCell ref="A24:B24"/>
    <mergeCell ref="A25:U25"/>
    <mergeCell ref="A26:E26"/>
    <mergeCell ref="F26:U26"/>
    <mergeCell ref="A55:B55"/>
    <mergeCell ref="A12:U12"/>
    <mergeCell ref="A14:B14"/>
    <mergeCell ref="A15:E15"/>
    <mergeCell ref="F15:U15"/>
    <mergeCell ref="A19:B19"/>
    <mergeCell ref="A20:E20"/>
    <mergeCell ref="F20:U20"/>
    <mergeCell ref="N5:N8"/>
    <mergeCell ref="K6:K8"/>
    <mergeCell ref="A11:U11"/>
    <mergeCell ref="U5:U9"/>
    <mergeCell ref="R7:R8"/>
    <mergeCell ref="S7:S8"/>
    <mergeCell ref="J5:K5"/>
    <mergeCell ref="L5:L8"/>
    <mergeCell ref="J6:J8"/>
    <mergeCell ref="Q7:Q8"/>
    <mergeCell ref="D6:D9"/>
    <mergeCell ref="G5:G9"/>
    <mergeCell ref="H5:H9"/>
    <mergeCell ref="M5:M8"/>
    <mergeCell ref="E5:E9"/>
    <mergeCell ref="F5:F9"/>
    <mergeCell ref="O7:P8"/>
    <mergeCell ref="O5:S6"/>
    <mergeCell ref="T5:T9"/>
    <mergeCell ref="A2:T2"/>
    <mergeCell ref="D3:S3"/>
    <mergeCell ref="A5:A9"/>
    <mergeCell ref="B5:B9"/>
    <mergeCell ref="C5:D5"/>
    <mergeCell ref="I5:I8"/>
    <mergeCell ref="C6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2021-01-18T12:35:42Z</dcterms:modified>
  <cp:category/>
  <cp:version/>
  <cp:contentType/>
  <cp:contentStatus/>
</cp:coreProperties>
</file>