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65296" windowWidth="19035" windowHeight="12225" activeTab="1"/>
  </bookViews>
  <sheets>
    <sheet name="раздел3" sheetId="1" r:id="rId1"/>
    <sheet name="раздел 4" sheetId="2" r:id="rId2"/>
    <sheet name="Лист1" sheetId="3" state="hidden" r:id="rId3"/>
  </sheets>
  <externalReferences>
    <externalReference r:id="rId6"/>
  </externalReferences>
  <definedNames>
    <definedName name="_xlnm._FilterDatabase" localSheetId="1" hidden="1">'раздел 4'!$A$9:$Z$87</definedName>
    <definedName name="_xlnm._FilterDatabase" localSheetId="0" hidden="1">'раздел3'!$A$6:$R$240</definedName>
    <definedName name="BossProviderVariable?_3f516715_10ca_45b6_90bf_dcd971712b64" hidden="1">"25_01_2006"</definedName>
    <definedName name="_xlnm.Print_Titles" localSheetId="1">'раздел 4'!$8:$8</definedName>
    <definedName name="_xlnm.Print_Area" localSheetId="1">'раздел 4'!$A$1:$W$241</definedName>
    <definedName name="_xlnm.Print_Area" localSheetId="0">'раздел3'!$A$1:$R$238</definedName>
  </definedNames>
  <calcPr fullCalcOnLoad="1"/>
</workbook>
</file>

<file path=xl/sharedStrings.xml><?xml version="1.0" encoding="utf-8"?>
<sst xmlns="http://schemas.openxmlformats.org/spreadsheetml/2006/main" count="1466" uniqueCount="388">
  <si>
    <t>Адрес МКД</t>
  </si>
  <si>
    <t>Сосновоборский городской округ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</si>
  <si>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</si>
  <si>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</si>
  <si>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</si>
  <si>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</si>
  <si>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</si>
  <si>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</si>
  <si>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</si>
  <si>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</si>
  <si>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</si>
  <si>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</si>
  <si>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</si>
  <si>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</si>
  <si>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</si>
  <si>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</si>
  <si>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</si>
  <si>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</si>
  <si>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</si>
  <si>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</si>
  <si>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</si>
  <si>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</si>
  <si>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</si>
  <si>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</si>
  <si>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Кирпич</t>
  </si>
  <si>
    <t>панель</t>
  </si>
  <si>
    <t>кирпич</t>
  </si>
  <si>
    <t>5/6</t>
  </si>
  <si>
    <t>дерево</t>
  </si>
  <si>
    <t>панельный</t>
  </si>
  <si>
    <t>до 1940</t>
  </si>
  <si>
    <t>панельн.</t>
  </si>
  <si>
    <t>Панель</t>
  </si>
  <si>
    <t>х</t>
  </si>
  <si>
    <t>3</t>
  </si>
  <si>
    <t>панель.</t>
  </si>
  <si>
    <t>№ п\п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</si>
  <si>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</si>
  <si>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</si>
  <si>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</si>
  <si>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</si>
  <si>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</si>
  <si>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</si>
  <si>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</si>
  <si>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</si>
  <si>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</si>
  <si>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</si>
  <si>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Проектные работы</t>
  </si>
  <si>
    <t>Работы по предпроектной подготовке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</si>
  <si>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</si>
  <si>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</si>
  <si>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</si>
  <si>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</si>
  <si>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</si>
  <si>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</si>
  <si>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</si>
  <si>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ед.</t>
  </si>
  <si>
    <t>кв.м.</t>
  </si>
  <si>
    <t>куб.м.</t>
  </si>
  <si>
    <t>Бокситогорский муниципальный район</t>
  </si>
  <si>
    <t>Итого по муниципальному образованию</t>
  </si>
  <si>
    <t>Муниципальное образование Борское сельское поселение</t>
  </si>
  <si>
    <t>Муниципальное образование Город Пикалево</t>
  </si>
  <si>
    <t>Итого по Бокситогорскому муниципальному району</t>
  </si>
  <si>
    <t>Волховский муниципальный район</t>
  </si>
  <si>
    <t>Итого по Волховскому муниципальному району</t>
  </si>
  <si>
    <t>Итого по Всеволожскому муниципальному району</t>
  </si>
  <si>
    <t>Выборгский район</t>
  </si>
  <si>
    <t>Муниципальное образование Выборгское городское поселение</t>
  </si>
  <si>
    <t>Итого по Выборгскому району</t>
  </si>
  <si>
    <t>Муниципальное образование Город Гатчина</t>
  </si>
  <si>
    <t>Итого по Гатчинскому муниципальному району</t>
  </si>
  <si>
    <t>Киришский муниципальный район</t>
  </si>
  <si>
    <t>Муниципальное образование Киришское городское поселение</t>
  </si>
  <si>
    <t>Итого по Киришскому муниципальному району</t>
  </si>
  <si>
    <t>Ломоносовский муниципальный район</t>
  </si>
  <si>
    <t>Муниципальное образование Аннинское сельское поселение</t>
  </si>
  <si>
    <t>Итого по Ломоносовскому муниципальному району</t>
  </si>
  <si>
    <t>Лужский муниципальный район</t>
  </si>
  <si>
    <t>Итого по Лужскому муниципальному району</t>
  </si>
  <si>
    <t>Приозерский муниципальный район</t>
  </si>
  <si>
    <t>Итого по Приозерскому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</si>
  <si>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</si>
  <si>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</si>
  <si>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Итого по Тихвинскому муниципальному району</t>
  </si>
  <si>
    <t>ИТОГО по Ленинградской области</t>
  </si>
  <si>
    <t>Осуществление строительного контроля</t>
  </si>
  <si>
    <t>Итого по Ленинградской области со строительным контролем</t>
  </si>
  <si>
    <t>Муниципальное образование Виллозское сельское поселение</t>
  </si>
  <si>
    <t>Муниципальное образование Лопухинское сельское поселение</t>
  </si>
  <si>
    <t>Муниципальное образование Осьминское сельское поселение</t>
  </si>
  <si>
    <t>Муниципальное образование Мичуринское сельское поселение</t>
  </si>
  <si>
    <t>электрика</t>
  </si>
  <si>
    <t>фасад</t>
  </si>
  <si>
    <t>хвс</t>
  </si>
  <si>
    <t>электрика+хвс</t>
  </si>
  <si>
    <t>электрика+фундамент</t>
  </si>
  <si>
    <t>пос. Новоселье, д. 152</t>
  </si>
  <si>
    <t>пос. Новоселье, д. 155</t>
  </si>
  <si>
    <t>пос. Новоселье, д. 157</t>
  </si>
  <si>
    <t>пос. Аннино, ул. Центральная, д. 3</t>
  </si>
  <si>
    <t>Муниципальное образование Советское сельское поселение</t>
  </si>
  <si>
    <t xml:space="preserve"> п. Дятлово ул. Героев Танкистов д.7</t>
  </si>
  <si>
    <t>Ж/б панели</t>
  </si>
  <si>
    <t>Дер. Потанино, д.1</t>
  </si>
  <si>
    <t>Дер. Потанино, д.3</t>
  </si>
  <si>
    <t>п.Красный Маяк д.14-а</t>
  </si>
  <si>
    <t>п.Красный Маяк д.14-б</t>
  </si>
  <si>
    <t>п.Красный Маяк д.14-в</t>
  </si>
  <si>
    <t>п.Красный Маяк д.5</t>
  </si>
  <si>
    <t>ул.Школьная, д. 50</t>
  </si>
  <si>
    <t>Муниципальное образование г. Коммунар</t>
  </si>
  <si>
    <t>г. Коммунар, ул. Павловская, д. 2</t>
  </si>
  <si>
    <t>г. Коммунар, ул. Павловская, д. 3</t>
  </si>
  <si>
    <t>сб жб</t>
  </si>
  <si>
    <t>ул.Солнечная, д.30</t>
  </si>
  <si>
    <t>Муниципальное образование Ларионовское сельское поселение</t>
  </si>
  <si>
    <t>г. Тихвин, 3 мкр. д. 15</t>
  </si>
  <si>
    <t>г. Тихвин, 3 мкр. д. 16</t>
  </si>
  <si>
    <t>г. Тихвин, Ленинградская, д. 143</t>
  </si>
  <si>
    <t>г. Тихвин, 4 микрорайон, д.28</t>
  </si>
  <si>
    <t>пос. Красава, ул. Комсомольская, д.10а</t>
  </si>
  <si>
    <t>Пос. Осьмино, ул. Ленина, д. 53</t>
  </si>
  <si>
    <t>Дер. Бор, д. 15</t>
  </si>
  <si>
    <t>пос. Сельхозтехника, д.5</t>
  </si>
  <si>
    <t>п. Мичуринское, ул. Первомайскаяд . 26</t>
  </si>
  <si>
    <t>п. Мичуринское, ул. Первомайская, д. 26</t>
  </si>
  <si>
    <t>Виллози 14</t>
  </si>
  <si>
    <t>Малое Карлино 10</t>
  </si>
  <si>
    <t>Малое Карлино 12</t>
  </si>
  <si>
    <t>Малое Карлино 20</t>
  </si>
  <si>
    <t>кирпичный</t>
  </si>
  <si>
    <t>г. Выборг, Московский пр., д. 10</t>
  </si>
  <si>
    <t>7, 8</t>
  </si>
  <si>
    <t>Муниципальное образование Громовское сельское поселение</t>
  </si>
  <si>
    <t>Веревское сельское поселение, д.Зайцево, д.8</t>
  </si>
  <si>
    <t>Веревское сельское поселение, д.Зайцево, д.10</t>
  </si>
  <si>
    <t>Веревское сельское поселение, д.Зайцево, д.12</t>
  </si>
  <si>
    <t>Муниципальное образование Скребловское поселение</t>
  </si>
  <si>
    <t xml:space="preserve">Панель </t>
  </si>
  <si>
    <t>Г. Гатчина, пр.25-го Октября, д.50</t>
  </si>
  <si>
    <t>Г. Гатчина, пр.25-го Октября, д.63</t>
  </si>
  <si>
    <t>Г. Гатчина, просп. Красноармейский, д. 11</t>
  </si>
  <si>
    <t>Г. Гатчина, ул. 7-ой  Армии, д. 19</t>
  </si>
  <si>
    <t>Г. Гатчина, ул.Авиатриссы Зверевой, д.11</t>
  </si>
  <si>
    <t>Г. Гатчина, ул. Володарского, д. 3</t>
  </si>
  <si>
    <t>Г. Гатчина, ул. Володарского, д. 3А</t>
  </si>
  <si>
    <t>Г. Гатчина, ул. Володарского, д. 5</t>
  </si>
  <si>
    <t>Г. Гатчина, ул. Карла Маркса, д. 71</t>
  </si>
  <si>
    <t>Г. Гатчина, ул. Красная, д. 4</t>
  </si>
  <si>
    <t>Г. Гатчина, ул.Красных Военлетов, д.9</t>
  </si>
  <si>
    <t>Г. Гатчина, ул.Рощинская, д.13 к.1</t>
  </si>
  <si>
    <t>Г. Гатчина, ул.Чехова, д.14</t>
  </si>
  <si>
    <t>Г. Гатчина, ул.Чкалова, д.42</t>
  </si>
  <si>
    <t>Г. Гатчина, ул. Чкалова, д. 61</t>
  </si>
  <si>
    <t>Г. Гатчина, ул. Чкалова, д. 61А</t>
  </si>
  <si>
    <t>Г. Гатчина, ул. Чкалова, д. 65</t>
  </si>
  <si>
    <t>Г. Гатчина, ул. Чкалова, д. 69</t>
  </si>
  <si>
    <t>Кирпич.</t>
  </si>
  <si>
    <t>деревян.</t>
  </si>
  <si>
    <t xml:space="preserve">Г. Выборг, ул. Гагарина, д. 21 </t>
  </si>
  <si>
    <t xml:space="preserve">Г. Выборг, ул. Гагарина, д. 10  </t>
  </si>
  <si>
    <t xml:space="preserve">Г. Выборг, ш. Сайменское, д. 35 </t>
  </si>
  <si>
    <t>Г. Выборг, ул. Некрасова, д. 10</t>
  </si>
  <si>
    <t xml:space="preserve">Г. Выборг, наб. 40-летия ВЛКСМ, д. 7  </t>
  </si>
  <si>
    <t>Г. Выборг, пер. Рыбный, д. 4А</t>
  </si>
  <si>
    <t xml:space="preserve">Г. Выборг, ул.Данилова, д. 1 </t>
  </si>
  <si>
    <t>Г. Выборг, ул. Рубежная, д. 18</t>
  </si>
  <si>
    <t>Г. Выборг, пр. Московский, д. 7</t>
  </si>
  <si>
    <t>Г. Выборг, ул. Некрасова, д. 19</t>
  </si>
  <si>
    <t>Г. Выборг, ул. Крепостная, д. 2/4</t>
  </si>
  <si>
    <t xml:space="preserve">Г. Выборг, ул. Рубежная, д. 21  </t>
  </si>
  <si>
    <t>г. Выборг, ул. Промышленная, д. 2</t>
  </si>
  <si>
    <t>восст. 1962</t>
  </si>
  <si>
    <t>нет заключения</t>
  </si>
  <si>
    <t>Пос. Сельхозтехника, д. 5</t>
  </si>
  <si>
    <t>Г. Пикалево, ул. Школьная, д. 50</t>
  </si>
  <si>
    <t>в бюджете 500 тыс.предусмотрено</t>
  </si>
  <si>
    <t>ПИР Фасад+Фундамент</t>
  </si>
  <si>
    <t>в бюджете 28 тыс.предусмотрено</t>
  </si>
  <si>
    <t>Дер. Потанино, д. 1</t>
  </si>
  <si>
    <t>Дер. Потанино, д. 3</t>
  </si>
  <si>
    <t>Муниципальное образование Потанинское сельское поселение</t>
  </si>
  <si>
    <t>в бюджете 400 тыс.предусмотрено</t>
  </si>
  <si>
    <t xml:space="preserve">Г.п. Кузьмоловский, ул. Железнодорожная, д. 24  </t>
  </si>
  <si>
    <t xml:space="preserve">Г.п. Кузьмоловский, ул. Строителей, д. 11  </t>
  </si>
  <si>
    <t>Муниципальное образование Кузьмоловское городское поселение</t>
  </si>
  <si>
    <t>гарантийное письмо</t>
  </si>
  <si>
    <t>г. Высоцк, ул. Кировская, д.2</t>
  </si>
  <si>
    <t>г. Высоцк, ул. Кировская, д.5</t>
  </si>
  <si>
    <t>п.Первомайское, ул. Ленина, д.66</t>
  </si>
  <si>
    <t>п.Первомайское, ул. Ленина, д.56</t>
  </si>
  <si>
    <t>п.Ольшаники, ул. Балтийская, д.11</t>
  </si>
  <si>
    <t>п.Ленинское, ул. Заречная, д.11</t>
  </si>
  <si>
    <t>п. Красная Долина, д.28</t>
  </si>
  <si>
    <t>п. Красная Долина, д.36</t>
  </si>
  <si>
    <t>п. Красная Долина, д.37</t>
  </si>
  <si>
    <t>п. Глебычево, ул. Мира, д.1</t>
  </si>
  <si>
    <t>п. Глебычево, ул. Мира, д.4</t>
  </si>
  <si>
    <t>в бюджете предусмотрено 955,0 тыс.</t>
  </si>
  <si>
    <t>г. Приморск, наб. Лебедева, д.5</t>
  </si>
  <si>
    <t>г. Приморск, Выборгское шоссе, д.5</t>
  </si>
  <si>
    <t>нет ничего про бюджет</t>
  </si>
  <si>
    <t>нет никаких документов по ним</t>
  </si>
  <si>
    <t>выписка на 14 млн. руб.</t>
  </si>
  <si>
    <t>д. Котлы, д.229</t>
  </si>
  <si>
    <t>п. Неппово, д.24</t>
  </si>
  <si>
    <t>У ГЖИ (в табличке) написано что согласовано но письма я не нашла</t>
  </si>
  <si>
    <t>никаких документов нет</t>
  </si>
  <si>
    <t>выписка из бюджета на 2,9 млн.руб.</t>
  </si>
  <si>
    <t>Кировский муниципальный район</t>
  </si>
  <si>
    <t>г.п. Мга, Комсомольский пр., д.100</t>
  </si>
  <si>
    <t>Итого по Кировскому муниципальному району</t>
  </si>
  <si>
    <t>выписка из бюджета на 600, тыс.</t>
  </si>
  <si>
    <t>г. Отрадное, 16 линия, д.21</t>
  </si>
  <si>
    <t>г. Отрадное, 16 линия, д.23</t>
  </si>
  <si>
    <t>г. Отрадное, 16 линия, д.25</t>
  </si>
  <si>
    <t>г. Отрадное, 16 линия, д.27</t>
  </si>
  <si>
    <t>г. Отрадное, 17 линия, д.40</t>
  </si>
  <si>
    <t>г. Отрадное, 17 линия, д.42</t>
  </si>
  <si>
    <t>д. Яльгелево, д.23</t>
  </si>
  <si>
    <t>выписка из бюджета 8,64 млн.рублей</t>
  </si>
  <si>
    <t xml:space="preserve">д. Кипень, Ропшинское ш., 21 </t>
  </si>
  <si>
    <t>согласования ГЖИ нет. Есть согласование на 2018</t>
  </si>
  <si>
    <t>выписка из бюджета на 1 млн. рубл.</t>
  </si>
  <si>
    <t>д. Турово, д.1</t>
  </si>
  <si>
    <t>Луга-3, д.3/33</t>
  </si>
  <si>
    <t>Луга-3, д.3/35</t>
  </si>
  <si>
    <t>Луга-3, д.8/12</t>
  </si>
  <si>
    <t>Луга-3, д.8/47</t>
  </si>
  <si>
    <t>кр/пан.</t>
  </si>
  <si>
    <t>Луга-2, ул.Мелиораторов д.7</t>
  </si>
  <si>
    <t>пан</t>
  </si>
  <si>
    <t xml:space="preserve">Луга-3, д.4/7 </t>
  </si>
  <si>
    <t>кирп</t>
  </si>
  <si>
    <t>выписка из бюджета на 950,0 тфс.</t>
  </si>
  <si>
    <t>нет ни гарантрийки ни выписки из бюджета</t>
  </si>
  <si>
    <t xml:space="preserve">панель </t>
  </si>
  <si>
    <t>выписка из бюджета 944959</t>
  </si>
  <si>
    <t>выписка из бюджета 2,0 млн.</t>
  </si>
  <si>
    <t>мо</t>
  </si>
  <si>
    <t>об</t>
  </si>
  <si>
    <t>Муниципальное образование Кипенское сельское поселение</t>
  </si>
  <si>
    <t>Муниципальное образование Ропшинское сельское поселение</t>
  </si>
  <si>
    <t>Муниципальное образование Заклинское сельское поселение</t>
  </si>
  <si>
    <t>Муниципальное образование Потанинскоее сельское поселение</t>
  </si>
  <si>
    <t>Муниципальное образование Высоцкое городское поселение</t>
  </si>
  <si>
    <t>обещали прислать</t>
  </si>
  <si>
    <t>Муниципальное образование Первомайское сельское поселение</t>
  </si>
  <si>
    <t>Муниципальное образование Приморское городское поселение</t>
  </si>
  <si>
    <t>Г. Кириши, просп. Героев, д. 14</t>
  </si>
  <si>
    <t>Г. Кириши, просп. Героев, д. 15</t>
  </si>
  <si>
    <t>Г. Кириши, просп. Героев, д. 17</t>
  </si>
  <si>
    <t>Г. Кириши, пер. Березовый д.10</t>
  </si>
  <si>
    <t>Г. Кириши, ул. Декабристов Бестужевых д.14</t>
  </si>
  <si>
    <t>Г. Кириши, ул. Декабристов Бестужевых д.16</t>
  </si>
  <si>
    <t>Муниципальное образование Веревское сельское поселение</t>
  </si>
  <si>
    <t>Муниципальное образование Котельское сельское поселение</t>
  </si>
  <si>
    <t>Итого по Кигисеппскому муниципальному району</t>
  </si>
  <si>
    <t>Муниципальное образование Отрадненское городское поселение</t>
  </si>
  <si>
    <t>Муниципальное образование Мгинское городское поселение</t>
  </si>
  <si>
    <t>Муниципальное образование Мшинское сельское поселение</t>
  </si>
  <si>
    <t>Сметы ПИР</t>
  </si>
  <si>
    <t>крыша</t>
  </si>
  <si>
    <t>фундамент</t>
  </si>
  <si>
    <t>фасад+фундамент+ТС</t>
  </si>
  <si>
    <t>крыша+фасад</t>
  </si>
  <si>
    <t>Электрика</t>
  </si>
  <si>
    <t>фасад+фундамент</t>
  </si>
  <si>
    <t>м крыша</t>
  </si>
  <si>
    <t>лифт</t>
  </si>
  <si>
    <t>ж крыша</t>
  </si>
  <si>
    <t>фасад+крыша</t>
  </si>
  <si>
    <t>м крыша+э+ХВС+ГВС+ОВ+ТС</t>
  </si>
  <si>
    <t>фасад+ж крыша</t>
  </si>
  <si>
    <t>ж крыша+фасад</t>
  </si>
  <si>
    <t>Э+ХВС+ГВС+ТС+ВО</t>
  </si>
  <si>
    <t>м крыша+фасад</t>
  </si>
  <si>
    <t>Э+ХВС+ГВС+ТС+ВО+м крыша</t>
  </si>
  <si>
    <t>ж крыша+Э+ХВС+ГВС+ТС+ВО+подвал+УУ</t>
  </si>
  <si>
    <t>м крыша+Э+ХВС+ГВС+ТС+ВО+утпл фасад+подвал+УУ</t>
  </si>
  <si>
    <t>м крыша+фундамент</t>
  </si>
  <si>
    <t>Муниципальное образование Лужское городское поселение</t>
  </si>
  <si>
    <t>Итого по Кингисеппскому муниципальному району</t>
  </si>
  <si>
    <t>никаких документов нет - позвонила</t>
  </si>
  <si>
    <t>никаких документов нет - yfgbcfkf</t>
  </si>
  <si>
    <t>никаких документов нет - написала</t>
  </si>
  <si>
    <t>никаких документов нет- НАПИСАЛА</t>
  </si>
  <si>
    <t>фундамент+фасад</t>
  </si>
  <si>
    <t>кровля</t>
  </si>
  <si>
    <t>Э+ХВС+ГВС+ТС+ВО+ИПУ+пу</t>
  </si>
  <si>
    <t>кирп.</t>
  </si>
  <si>
    <t>7 шт лифты</t>
  </si>
  <si>
    <t>3 шт лифты</t>
  </si>
  <si>
    <t>Муниципальное образование Селезневское сельское  поселение</t>
  </si>
  <si>
    <t>п.Лужайка, д.11</t>
  </si>
  <si>
    <t>п.Лужайка, д.13</t>
  </si>
  <si>
    <t>п.Лужайка, д.12</t>
  </si>
  <si>
    <t>п.Кондратьево, д.4</t>
  </si>
  <si>
    <t>п. Торфяновка, д.9</t>
  </si>
  <si>
    <t>Э+ТС+ХВС+ГВС+ВО</t>
  </si>
  <si>
    <t>ХВС+ВО</t>
  </si>
  <si>
    <t>газосекц</t>
  </si>
  <si>
    <t>РО</t>
  </si>
  <si>
    <t>блочный</t>
  </si>
  <si>
    <t>к/бетонный</t>
  </si>
  <si>
    <t>Муниципальное образование Низинское сельское поселение</t>
  </si>
  <si>
    <t>д. Низино, ул. Центральная, д. 5</t>
  </si>
  <si>
    <t>д. Низино, ул. Центральная, д. 7</t>
  </si>
  <si>
    <t>д. Низино, ул. Центральная, д.9</t>
  </si>
  <si>
    <t>д. Низино, Санинское шоссе, д. 3</t>
  </si>
  <si>
    <t>д. Низино, Санинское шоссе, д. 5</t>
  </si>
  <si>
    <t>д. Низино, Санинское шоссе, д.7</t>
  </si>
  <si>
    <t>гвс</t>
  </si>
  <si>
    <t>крупнопанельные ж/б плиты</t>
  </si>
  <si>
    <t>ж/б блок</t>
  </si>
  <si>
    <t>Сланцевский муниципальный район</t>
  </si>
  <si>
    <t>Муниципальное образование Сланцевское городское поселение</t>
  </si>
  <si>
    <t>г.Сланцы, ул.Максима Горького, д.5/9</t>
  </si>
  <si>
    <t>Итого по Сланцевскому муниципальному району</t>
  </si>
  <si>
    <t>IV. Реестр многоквартирных домов, которые подлежат капитальному ремонту в 2017 году  с учетом мер государственной поддержки</t>
  </si>
  <si>
    <t xml:space="preserve"> д.Зайцево, д.8</t>
  </si>
  <si>
    <t xml:space="preserve"> д.Зайцево, д.10</t>
  </si>
  <si>
    <t xml:space="preserve"> д.Зайцево, д.12</t>
  </si>
  <si>
    <t>6 лифт</t>
  </si>
  <si>
    <t>фасад+фундамент+хвс</t>
  </si>
  <si>
    <t>2 лифт</t>
  </si>
  <si>
    <t xml:space="preserve">Г. Выборг, бульвар Кутузова, д. 10А  </t>
  </si>
  <si>
    <t>Г. Гатчина, пр.25 Октября, д.50</t>
  </si>
  <si>
    <t>Г. Гатчина, пр.25 Октября, д.63</t>
  </si>
  <si>
    <t>Д.Лопухинка,ул. Первомайская д.11</t>
  </si>
  <si>
    <t>Г. Тихвин, микрорайон 3, д. 15</t>
  </si>
  <si>
    <t>Г. Тихвин, микрорайон 3, д. 16</t>
  </si>
  <si>
    <t>Г. Тихвин, ул. Ленинградская, д. 143</t>
  </si>
  <si>
    <t>Г. Тихвин, микрорайон 4, д. 28</t>
  </si>
  <si>
    <t>Спец счет у РО</t>
  </si>
  <si>
    <t>Муниципальное образование Город Всеволожск</t>
  </si>
  <si>
    <t xml:space="preserve">Г. Всеволожск, ш. Колтушское, д. 78  </t>
  </si>
  <si>
    <t>Волосовский муниципальный район</t>
  </si>
  <si>
    <t>Муниципальное образование Большеврудское сельское поселение</t>
  </si>
  <si>
    <t>Дер. Большая Вруда, д. 4</t>
  </si>
  <si>
    <t>Итого по Волосовскому муниципальному району</t>
  </si>
  <si>
    <t>Всеволожский муниципальный район</t>
  </si>
  <si>
    <t>обл</t>
  </si>
  <si>
    <t>местн</t>
  </si>
  <si>
    <t>п.Красава, ул. Комсомольская, д. 10а</t>
  </si>
  <si>
    <t>III. Перечень многоквартирных домов, которые подлежат капитальному ремонту в 2017 году с учетом мер государственной поддержки</t>
  </si>
  <si>
    <t>пер. Березовый, д.10</t>
  </si>
  <si>
    <t>пр. Героев, д.14</t>
  </si>
  <si>
    <t>Гатчинский муниципальный район</t>
  </si>
  <si>
    <t>Кингисеппский муниципальный район</t>
  </si>
  <si>
    <t>Муниципальное образование Скребловское сельское поселение</t>
  </si>
  <si>
    <t xml:space="preserve"> Сосновоборский городской округ</t>
  </si>
  <si>
    <t>п. Дятлово, ул. Героев Танкистов, д.7</t>
  </si>
  <si>
    <t>г. Луга, пр.Володарского, д.36</t>
  </si>
  <si>
    <t>г. Луга, пр.Кирова, д.45</t>
  </si>
  <si>
    <t>Луга-2, ул.Мелиораторов, д.7</t>
  </si>
  <si>
    <t>Луга-2, ул.Мелиораторов, д.13</t>
  </si>
  <si>
    <t>г. Луга, ул. Победы, д.8</t>
  </si>
  <si>
    <t>п.Красный Маяк, д.14-а</t>
  </si>
  <si>
    <t>п.Красный Маяк, д.14-б</t>
  </si>
  <si>
    <t>п.Красный Маяк, д.14-в</t>
  </si>
  <si>
    <t>п.Красный Маяк, д.5</t>
  </si>
  <si>
    <t>п. Межозерный, д. №6</t>
  </si>
  <si>
    <t>п.Скреблово, д. № 7</t>
  </si>
  <si>
    <t>п.Скреблово, д. № 10</t>
  </si>
  <si>
    <t>п. Громово,  ул.Центральная, д.5</t>
  </si>
  <si>
    <t>п. Коммунары,  ул.Центральная,   д.5</t>
  </si>
  <si>
    <t>Г. Сосновый Бор, ул.Солнечная, д.30</t>
  </si>
  <si>
    <t>Тихвинский муниципальный  район</t>
  </si>
  <si>
    <t>Приозерский муниципальный  район</t>
  </si>
  <si>
    <t>Лужский муниципальный  район</t>
  </si>
  <si>
    <t>Ломоносовскиймуниципальный  район</t>
  </si>
  <si>
    <t>Гатчинский муниципальный  район</t>
  </si>
  <si>
    <t>пр. Героев, д.15</t>
  </si>
  <si>
    <t>пр. Героев, д.17</t>
  </si>
  <si>
    <t>ул. Декабристов Бестужевых, д.14</t>
  </si>
  <si>
    <t>ул. Декабристов Бестужевых, д.16</t>
  </si>
  <si>
    <t>Д. Лопухинка, ул. Первомайская д.11</t>
  </si>
  <si>
    <t>п. Громово, ул.Центральная д.5</t>
  </si>
  <si>
    <t>п. Коммунары, ул.Центральная д.5</t>
  </si>
  <si>
    <t>г. Луга, пр.Кирова д.45</t>
  </si>
  <si>
    <t>г. Луга, пр.Володарского д.36</t>
  </si>
  <si>
    <t xml:space="preserve"> п. Дятлово ул. Героев Танкистов д.9</t>
  </si>
  <si>
    <t>Ж/б блок</t>
  </si>
  <si>
    <t xml:space="preserve"> п. Дятлово, ул. Героев Танкистов, д.9</t>
  </si>
  <si>
    <t xml:space="preserve">Г. Выборг, пер. Привокзальный, д. 1  </t>
  </si>
  <si>
    <t>31.12.2019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</si>
</sst>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  <numFmt numFmtId="176" formatCode="[$-FC19]d\ mmmm\ yyyy\ &quot;г.&quot;"/>
    <numFmt numFmtId="177" formatCode="#,##0.000"/>
    <numFmt numFmtId="178" formatCode="#,##0.0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;[Red]0.0"/>
    <numFmt numFmtId="189" formatCode="#,###.00"/>
    <numFmt numFmtId="190" formatCode="#,###.00;[Red]\-#,###.00"/>
    <numFmt numFmtId="191" formatCode="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sz val="14"/>
      <color indexed="8"/>
      <name val="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sz val="10"/>
      <color indexed="6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10"/>
      <color rgb="FF00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5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34" fillId="20" borderId="0" applyNumberFormat="0" applyBorder="0" applyAlignment="0" applyProtection="0"/>
    <xf numFmtId="0" fontId="12" fillId="21" borderId="0" applyNumberFormat="0" applyBorder="0" applyAlignment="0" applyProtection="0"/>
    <xf numFmtId="0" fontId="34" fillId="22" borderId="0" applyNumberFormat="0" applyBorder="0" applyAlignment="0" applyProtection="0"/>
    <xf numFmtId="0" fontId="12" fillId="23" borderId="0" applyNumberFormat="0" applyBorder="0" applyAlignment="0" applyProtection="0"/>
    <xf numFmtId="0" fontId="34" fillId="24" borderId="0" applyNumberFormat="0" applyBorder="0" applyAlignment="0" applyProtection="0"/>
    <xf numFmtId="0" fontId="12" fillId="25" borderId="0" applyNumberFormat="0" applyBorder="0" applyAlignment="0" applyProtection="0"/>
    <xf numFmtId="0" fontId="34" fillId="26" borderId="0" applyNumberFormat="0" applyBorder="0" applyAlignment="0" applyProtection="0"/>
    <xf numFmtId="0" fontId="12" fillId="27" borderId="0" applyNumberFormat="0" applyBorder="0" applyAlignment="0" applyProtection="0"/>
    <xf numFmtId="0" fontId="34" fillId="28" borderId="0" applyNumberFormat="0" applyBorder="0" applyAlignment="0" applyProtection="0"/>
    <xf numFmtId="0" fontId="12" fillId="29" borderId="0" applyNumberFormat="0" applyBorder="0" applyAlignment="0" applyProtection="0"/>
    <xf numFmtId="0" fontId="34" fillId="30" borderId="0" applyNumberFormat="0" applyBorder="0" applyAlignment="0" applyProtection="0"/>
    <xf numFmtId="0" fontId="12" fillId="31" borderId="0" applyNumberFormat="0" applyBorder="0" applyAlignment="0" applyProtection="0"/>
    <xf numFmtId="0" fontId="36" fillId="32" borderId="1" applyNumberFormat="0" applyAlignment="0" applyProtection="0"/>
    <xf numFmtId="0" fontId="13" fillId="33" borderId="2" applyNumberFormat="0" applyAlignment="0" applyProtection="0"/>
    <xf numFmtId="0" fontId="37" fillId="34" borderId="3" applyNumberFormat="0" applyAlignment="0" applyProtection="0"/>
    <xf numFmtId="0" fontId="14" fillId="35" borderId="4" applyNumberFormat="0" applyAlignment="0" applyProtection="0"/>
    <xf numFmtId="0" fontId="38" fillId="34" borderId="1" applyNumberFormat="0" applyAlignment="0" applyProtection="0"/>
    <xf numFmtId="0" fontId="15" fillId="35" borderId="2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6" fillId="0" borderId="6" applyNumberFormat="0" applyFill="0" applyAlignment="0" applyProtection="0"/>
    <xf numFmtId="0" fontId="41" fillId="0" borderId="7" applyNumberFormat="0" applyFill="0" applyAlignment="0" applyProtection="0"/>
    <xf numFmtId="0" fontId="17" fillId="0" borderId="8" applyNumberFormat="0" applyFill="0" applyAlignment="0" applyProtection="0"/>
    <xf numFmtId="0" fontId="42" fillId="0" borderId="9" applyNumberFormat="0" applyFill="0" applyAlignment="0" applyProtection="0"/>
    <xf numFmtId="0" fontId="18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9" fillId="0" borderId="12" applyNumberFormat="0" applyFill="0" applyAlignment="0" applyProtection="0"/>
    <xf numFmtId="0" fontId="44" fillId="36" borderId="13" applyNumberFormat="0" applyAlignment="0" applyProtection="0"/>
    <xf numFmtId="0" fontId="20" fillId="37" borderId="14" applyNumberFormat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22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" fillId="0" borderId="0" applyProtection="0">
      <alignment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23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2" fillId="43" borderId="16" applyNumberForma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5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3" fillId="44" borderId="0" applyNumberFormat="0" applyBorder="0" applyAlignment="0" applyProtection="0"/>
    <xf numFmtId="0" fontId="27" fillId="45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7" fillId="46" borderId="0" xfId="0" applyFont="1" applyFill="1" applyAlignment="1">
      <alignment horizontal="center" vertical="center"/>
    </xf>
    <xf numFmtId="0" fontId="7" fillId="46" borderId="0" xfId="0" applyFont="1" applyFill="1" applyAlignment="1">
      <alignment/>
    </xf>
    <xf numFmtId="0" fontId="7" fillId="46" borderId="0" xfId="0" applyFont="1" applyFill="1" applyAlignment="1">
      <alignment horizontal="left" vertical="center"/>
    </xf>
    <xf numFmtId="0" fontId="7" fillId="46" borderId="0" xfId="0" applyFont="1" applyFill="1" applyAlignment="1">
      <alignment vertical="center" wrapText="1"/>
    </xf>
    <xf numFmtId="4" fontId="7" fillId="46" borderId="0" xfId="0" applyNumberFormat="1" applyFont="1" applyFill="1" applyAlignment="1">
      <alignment horizontal="right" vertical="center" indent="1"/>
    </xf>
    <xf numFmtId="0" fontId="7" fillId="46" borderId="0" xfId="0" applyFont="1" applyFill="1" applyAlignment="1">
      <alignment horizontal="center" vertical="center" wrapText="1"/>
    </xf>
    <xf numFmtId="3" fontId="7" fillId="46" borderId="19" xfId="0" applyNumberFormat="1" applyFont="1" applyFill="1" applyBorder="1" applyAlignment="1">
      <alignment horizontal="center" vertical="center"/>
    </xf>
    <xf numFmtId="3" fontId="7" fillId="46" borderId="19" xfId="0" applyNumberFormat="1" applyFont="1" applyFill="1" applyBorder="1" applyAlignment="1">
      <alignment horizontal="center" vertical="center" wrapText="1"/>
    </xf>
    <xf numFmtId="0" fontId="7" fillId="46" borderId="0" xfId="0" applyFont="1" applyFill="1" applyBorder="1" applyAlignment="1">
      <alignment vertical="center"/>
    </xf>
    <xf numFmtId="4" fontId="6" fillId="46" borderId="0" xfId="0" applyNumberFormat="1" applyFont="1" applyFill="1" applyBorder="1" applyAlignment="1">
      <alignment horizontal="right" vertical="center" wrapText="1" indent="1"/>
    </xf>
    <xf numFmtId="4" fontId="6" fillId="46" borderId="0" xfId="0" applyNumberFormat="1" applyFont="1" applyFill="1" applyBorder="1" applyAlignment="1">
      <alignment horizontal="right" vertical="center" indent="1"/>
    </xf>
    <xf numFmtId="0" fontId="6" fillId="46" borderId="0" xfId="0" applyFont="1" applyFill="1" applyAlignment="1">
      <alignment vertical="center"/>
    </xf>
    <xf numFmtId="0" fontId="4" fillId="46" borderId="0" xfId="0" applyFont="1" applyFill="1" applyAlignment="1">
      <alignment/>
    </xf>
    <xf numFmtId="0" fontId="7" fillId="46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2" fontId="7" fillId="46" borderId="19" xfId="0" applyNumberFormat="1" applyFont="1" applyFill="1" applyBorder="1" applyAlignment="1">
      <alignment horizontal="center" vertical="center"/>
    </xf>
    <xf numFmtId="2" fontId="7" fillId="46" borderId="19" xfId="0" applyNumberFormat="1" applyFont="1" applyFill="1" applyBorder="1" applyAlignment="1">
      <alignment horizontal="center" vertical="center" wrapText="1"/>
    </xf>
    <xf numFmtId="4" fontId="7" fillId="46" borderId="20" xfId="0" applyNumberFormat="1" applyFont="1" applyFill="1" applyBorder="1" applyAlignment="1">
      <alignment horizontal="center" vertical="center"/>
    </xf>
    <xf numFmtId="1" fontId="7" fillId="46" borderId="0" xfId="0" applyNumberFormat="1" applyFont="1" applyFill="1" applyAlignment="1">
      <alignment horizontal="center" vertical="center"/>
    </xf>
    <xf numFmtId="0" fontId="7" fillId="46" borderId="0" xfId="0" applyNumberFormat="1" applyFont="1" applyFill="1" applyBorder="1" applyAlignment="1">
      <alignment horizontal="center" vertical="center"/>
    </xf>
    <xf numFmtId="0" fontId="4" fillId="46" borderId="0" xfId="0" applyFont="1" applyFill="1" applyBorder="1" applyAlignment="1">
      <alignment vertical="center"/>
    </xf>
    <xf numFmtId="0" fontId="7" fillId="46" borderId="19" xfId="0" applyFont="1" applyFill="1" applyBorder="1" applyAlignment="1">
      <alignment horizontal="left" vertical="top" wrapText="1"/>
    </xf>
    <xf numFmtId="0" fontId="7" fillId="46" borderId="19" xfId="0" applyFont="1" applyFill="1" applyBorder="1" applyAlignment="1">
      <alignment horizontal="left" vertical="top"/>
    </xf>
    <xf numFmtId="0" fontId="4" fillId="46" borderId="19" xfId="0" applyFont="1" applyFill="1" applyBorder="1" applyAlignment="1">
      <alignment/>
    </xf>
    <xf numFmtId="0" fontId="7" fillId="46" borderId="19" xfId="91" applyFont="1" applyFill="1" applyBorder="1" applyAlignment="1">
      <alignment horizontal="left" vertical="top" wrapText="1"/>
      <protection/>
    </xf>
    <xf numFmtId="0" fontId="7" fillId="46" borderId="19" xfId="86" applyFont="1" applyFill="1" applyBorder="1" applyAlignment="1">
      <alignment horizontal="left" vertical="top" wrapText="1"/>
      <protection/>
    </xf>
    <xf numFmtId="0" fontId="7" fillId="46" borderId="21" xfId="79" applyFont="1" applyFill="1" applyBorder="1" applyAlignment="1">
      <alignment vertical="center" wrapText="1"/>
      <protection/>
    </xf>
    <xf numFmtId="0" fontId="7" fillId="46" borderId="19" xfId="79" applyFont="1" applyFill="1" applyBorder="1" applyAlignment="1">
      <alignment horizontal="left" vertical="center" wrapText="1"/>
      <protection/>
    </xf>
    <xf numFmtId="0" fontId="7" fillId="46" borderId="19" xfId="79" applyFont="1" applyFill="1" applyBorder="1">
      <alignment/>
      <protection/>
    </xf>
    <xf numFmtId="0" fontId="7" fillId="46" borderId="19" xfId="86" applyFont="1" applyFill="1" applyBorder="1" applyAlignment="1">
      <alignment vertical="center"/>
      <protection/>
    </xf>
    <xf numFmtId="0" fontId="7" fillId="46" borderId="22" xfId="86" applyFont="1" applyFill="1" applyBorder="1" applyAlignment="1">
      <alignment vertical="center"/>
      <protection/>
    </xf>
    <xf numFmtId="0" fontId="7" fillId="46" borderId="20" xfId="86" applyFont="1" applyFill="1" applyBorder="1" applyAlignment="1">
      <alignment vertical="center"/>
      <protection/>
    </xf>
    <xf numFmtId="0" fontId="8" fillId="46" borderId="0" xfId="0" applyFont="1" applyFill="1" applyAlignment="1">
      <alignment vertical="center"/>
    </xf>
    <xf numFmtId="0" fontId="4" fillId="46" borderId="0" xfId="0" applyFont="1" applyFill="1" applyAlignment="1">
      <alignment vertical="center"/>
    </xf>
    <xf numFmtId="0" fontId="7" fillId="46" borderId="19" xfId="79" applyFont="1" applyFill="1" applyBorder="1" applyAlignment="1">
      <alignment horizontal="left" vertical="top" wrapText="1"/>
      <protection/>
    </xf>
    <xf numFmtId="4" fontId="7" fillId="47" borderId="19" xfId="0" applyNumberFormat="1" applyFont="1" applyFill="1" applyBorder="1" applyAlignment="1">
      <alignment horizontal="center" vertical="center" wrapText="1"/>
    </xf>
    <xf numFmtId="0" fontId="7" fillId="46" borderId="19" xfId="91" applyFont="1" applyFill="1" applyBorder="1" applyAlignment="1">
      <alignment horizontal="left" vertical="center" wrapText="1"/>
      <protection/>
    </xf>
    <xf numFmtId="0" fontId="7" fillId="46" borderId="19" xfId="0" applyFont="1" applyFill="1" applyBorder="1" applyAlignment="1">
      <alignment horizontal="left" wrapText="1"/>
    </xf>
    <xf numFmtId="0" fontId="7" fillId="46" borderId="20" xfId="0" applyFont="1" applyFill="1" applyBorder="1" applyAlignment="1">
      <alignment horizontal="left" wrapText="1"/>
    </xf>
    <xf numFmtId="0" fontId="7" fillId="46" borderId="19" xfId="0" applyFont="1" applyFill="1" applyBorder="1" applyAlignment="1">
      <alignment horizontal="left"/>
    </xf>
    <xf numFmtId="4" fontId="6" fillId="46" borderId="0" xfId="0" applyNumberFormat="1" applyFont="1" applyFill="1" applyBorder="1" applyAlignment="1">
      <alignment horizontal="left" vertical="center"/>
    </xf>
    <xf numFmtId="0" fontId="7" fillId="46" borderId="19" xfId="0" applyFont="1" applyFill="1" applyBorder="1" applyAlignment="1">
      <alignment vertical="top"/>
    </xf>
    <xf numFmtId="0" fontId="4" fillId="46" borderId="0" xfId="0" applyFont="1" applyFill="1" applyAlignment="1">
      <alignment horizontal="center" vertical="center"/>
    </xf>
    <xf numFmtId="0" fontId="54" fillId="46" borderId="19" xfId="0" applyFont="1" applyFill="1" applyBorder="1" applyAlignment="1">
      <alignment/>
    </xf>
    <xf numFmtId="0" fontId="6" fillId="46" borderId="0" xfId="0" applyFont="1" applyFill="1" applyBorder="1" applyAlignment="1">
      <alignment horizontal="center" vertical="center" wrapText="1"/>
    </xf>
    <xf numFmtId="0" fontId="6" fillId="46" borderId="0" xfId="0" applyFont="1" applyFill="1" applyBorder="1" applyAlignment="1">
      <alignment horizontal="center" vertical="center" textRotation="90" wrapText="1"/>
    </xf>
    <xf numFmtId="0" fontId="8" fillId="46" borderId="19" xfId="0" applyFont="1" applyFill="1" applyBorder="1" applyAlignment="1">
      <alignment/>
    </xf>
    <xf numFmtId="0" fontId="7" fillId="46" borderId="19" xfId="0" applyFont="1" applyFill="1" applyBorder="1" applyAlignment="1">
      <alignment vertical="center" wrapText="1"/>
    </xf>
    <xf numFmtId="0" fontId="8" fillId="46" borderId="19" xfId="0" applyFont="1" applyFill="1" applyBorder="1" applyAlignment="1">
      <alignment vertical="center"/>
    </xf>
    <xf numFmtId="1" fontId="4" fillId="46" borderId="19" xfId="0" applyNumberFormat="1" applyFont="1" applyFill="1" applyBorder="1" applyAlignment="1">
      <alignment horizontal="center" vertical="center" wrapText="1"/>
    </xf>
    <xf numFmtId="0" fontId="7" fillId="46" borderId="0" xfId="0" applyFont="1" applyFill="1" applyAlignment="1">
      <alignment vertical="center"/>
    </xf>
    <xf numFmtId="4" fontId="7" fillId="46" borderId="0" xfId="0" applyNumberFormat="1" applyFont="1" applyFill="1" applyAlignment="1">
      <alignment vertical="center"/>
    </xf>
    <xf numFmtId="4" fontId="7" fillId="46" borderId="0" xfId="0" applyNumberFormat="1" applyFont="1" applyFill="1" applyBorder="1" applyAlignment="1">
      <alignment vertical="center"/>
    </xf>
    <xf numFmtId="1" fontId="7" fillId="46" borderId="19" xfId="0" applyNumberFormat="1" applyFont="1" applyFill="1" applyBorder="1" applyAlignment="1">
      <alignment horizontal="center" vertical="center"/>
    </xf>
    <xf numFmtId="4" fontId="8" fillId="46" borderId="21" xfId="0" applyNumberFormat="1" applyFont="1" applyFill="1" applyBorder="1" applyAlignment="1">
      <alignment vertical="center"/>
    </xf>
    <xf numFmtId="0" fontId="8" fillId="46" borderId="19" xfId="0" applyFont="1" applyFill="1" applyBorder="1" applyAlignment="1">
      <alignment horizontal="center"/>
    </xf>
    <xf numFmtId="0" fontId="8" fillId="46" borderId="19" xfId="0" applyFont="1" applyFill="1" applyBorder="1" applyAlignment="1">
      <alignment/>
    </xf>
    <xf numFmtId="4" fontId="8" fillId="46" borderId="0" xfId="0" applyNumberFormat="1" applyFont="1" applyFill="1" applyAlignment="1">
      <alignment vertical="center"/>
    </xf>
    <xf numFmtId="4" fontId="6" fillId="46" borderId="0" xfId="0" applyNumberFormat="1" applyFont="1" applyFill="1" applyAlignment="1">
      <alignment horizontal="center" vertical="center"/>
    </xf>
    <xf numFmtId="4" fontId="6" fillId="46" borderId="0" xfId="0" applyNumberFormat="1" applyFont="1" applyFill="1" applyBorder="1" applyAlignment="1">
      <alignment horizontal="center" vertical="center" textRotation="90" wrapText="1"/>
    </xf>
    <xf numFmtId="4" fontId="6" fillId="46" borderId="0" xfId="0" applyNumberFormat="1" applyFont="1" applyFill="1" applyBorder="1" applyAlignment="1">
      <alignment horizontal="center" vertical="center" wrapText="1"/>
    </xf>
    <xf numFmtId="4" fontId="8" fillId="46" borderId="23" xfId="0" applyNumberFormat="1" applyFont="1" applyFill="1" applyBorder="1" applyAlignment="1">
      <alignment horizontal="center" vertical="center"/>
    </xf>
    <xf numFmtId="4" fontId="7" fillId="46" borderId="0" xfId="0" applyNumberFormat="1" applyFont="1" applyFill="1" applyBorder="1" applyAlignment="1">
      <alignment horizontal="center" vertical="center" wrapText="1"/>
    </xf>
    <xf numFmtId="0" fontId="4" fillId="46" borderId="0" xfId="0" applyFont="1" applyFill="1" applyAlignment="1">
      <alignment horizontal="center" vertical="center" wrapText="1"/>
    </xf>
    <xf numFmtId="0" fontId="10" fillId="46" borderId="19" xfId="0" applyFont="1" applyFill="1" applyBorder="1" applyAlignment="1">
      <alignment horizontal="center" vertical="center"/>
    </xf>
    <xf numFmtId="0" fontId="11" fillId="46" borderId="0" xfId="0" applyFont="1" applyFill="1" applyBorder="1" applyAlignment="1">
      <alignment horizontal="center" vertical="center" wrapText="1"/>
    </xf>
    <xf numFmtId="4" fontId="11" fillId="46" borderId="0" xfId="0" applyNumberFormat="1" applyFont="1" applyFill="1" applyBorder="1" applyAlignment="1">
      <alignment horizontal="center" vertical="center" wrapText="1"/>
    </xf>
    <xf numFmtId="0" fontId="10" fillId="46" borderId="0" xfId="0" applyFont="1" applyFill="1" applyAlignment="1">
      <alignment/>
    </xf>
    <xf numFmtId="1" fontId="10" fillId="46" borderId="19" xfId="0" applyNumberFormat="1" applyFont="1" applyFill="1" applyBorder="1" applyAlignment="1">
      <alignment horizontal="center" vertical="center"/>
    </xf>
    <xf numFmtId="1" fontId="10" fillId="46" borderId="19" xfId="0" applyNumberFormat="1" applyFont="1" applyFill="1" applyBorder="1" applyAlignment="1">
      <alignment horizontal="center" vertical="center" wrapText="1"/>
    </xf>
    <xf numFmtId="1" fontId="4" fillId="46" borderId="0" xfId="0" applyNumberFormat="1" applyFont="1" applyFill="1" applyAlignment="1">
      <alignment horizontal="center" vertical="center"/>
    </xf>
    <xf numFmtId="1" fontId="7" fillId="46" borderId="19" xfId="0" applyNumberFormat="1" applyFont="1" applyFill="1" applyBorder="1" applyAlignment="1">
      <alignment horizontal="center" vertical="center" wrapText="1"/>
    </xf>
    <xf numFmtId="0" fontId="7" fillId="48" borderId="19" xfId="0" applyFont="1" applyFill="1" applyBorder="1" applyAlignment="1">
      <alignment horizontal="center" vertical="center" wrapText="1"/>
    </xf>
    <xf numFmtId="0" fontId="7" fillId="48" borderId="19" xfId="0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vertical="center"/>
    </xf>
    <xf numFmtId="4" fontId="7" fillId="46" borderId="0" xfId="0" applyNumberFormat="1" applyFont="1" applyFill="1" applyAlignment="1">
      <alignment/>
    </xf>
    <xf numFmtId="4" fontId="7" fillId="46" borderId="19" xfId="0" applyNumberFormat="1" applyFont="1" applyFill="1" applyBorder="1" applyAlignment="1">
      <alignment horizontal="center"/>
    </xf>
    <xf numFmtId="0" fontId="7" fillId="46" borderId="19" xfId="0" applyFont="1" applyFill="1" applyBorder="1" applyAlignment="1">
      <alignment horizontal="center"/>
    </xf>
    <xf numFmtId="3" fontId="7" fillId="46" borderId="19" xfId="0" applyNumberFormat="1" applyFont="1" applyFill="1" applyBorder="1" applyAlignment="1">
      <alignment horizontal="center"/>
    </xf>
    <xf numFmtId="0" fontId="7" fillId="46" borderId="19" xfId="106" applyFont="1" applyFill="1" applyBorder="1" applyAlignment="1" applyProtection="1">
      <alignment vertical="top"/>
      <protection locked="0"/>
    </xf>
    <xf numFmtId="0" fontId="7" fillId="46" borderId="19" xfId="106" applyFont="1" applyFill="1" applyBorder="1" applyAlignment="1" applyProtection="1">
      <alignment vertical="top" wrapText="1"/>
      <protection locked="0"/>
    </xf>
    <xf numFmtId="0" fontId="7" fillId="46" borderId="19" xfId="0" applyFont="1" applyFill="1" applyBorder="1" applyAlignment="1">
      <alignment horizontal="left" vertical="center" wrapText="1"/>
    </xf>
    <xf numFmtId="0" fontId="7" fillId="46" borderId="20" xfId="86" applyFont="1" applyFill="1" applyBorder="1" applyAlignment="1">
      <alignment vertical="center" wrapText="1"/>
      <protection/>
    </xf>
    <xf numFmtId="4" fontId="7" fillId="47" borderId="19" xfId="0" applyNumberFormat="1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vertical="top" wrapText="1"/>
    </xf>
    <xf numFmtId="2" fontId="6" fillId="46" borderId="19" xfId="0" applyNumberFormat="1" applyFont="1" applyFill="1" applyBorder="1" applyAlignment="1">
      <alignment horizontal="center" vertical="center"/>
    </xf>
    <xf numFmtId="2" fontId="6" fillId="46" borderId="23" xfId="0" applyNumberFormat="1" applyFont="1" applyFill="1" applyBorder="1" applyAlignment="1">
      <alignment horizontal="center" vertical="center" wrapText="1"/>
    </xf>
    <xf numFmtId="2" fontId="6" fillId="46" borderId="23" xfId="0" applyNumberFormat="1" applyFont="1" applyFill="1" applyBorder="1" applyAlignment="1">
      <alignment horizontal="center" vertical="center"/>
    </xf>
    <xf numFmtId="2" fontId="7" fillId="46" borderId="19" xfId="0" applyNumberFormat="1" applyFont="1" applyFill="1" applyBorder="1" applyAlignment="1">
      <alignment horizontal="center"/>
    </xf>
    <xf numFmtId="3" fontId="6" fillId="46" borderId="24" xfId="0" applyNumberFormat="1" applyFont="1" applyFill="1" applyBorder="1" applyAlignment="1">
      <alignment vertical="center"/>
    </xf>
    <xf numFmtId="3" fontId="6" fillId="46" borderId="23" xfId="0" applyNumberFormat="1" applyFont="1" applyFill="1" applyBorder="1" applyAlignment="1">
      <alignment vertical="center"/>
    </xf>
    <xf numFmtId="4" fontId="7" fillId="46" borderId="21" xfId="0" applyNumberFormat="1" applyFont="1" applyFill="1" applyBorder="1" applyAlignment="1">
      <alignment vertical="center" wrapText="1"/>
    </xf>
    <xf numFmtId="2" fontId="4" fillId="46" borderId="0" xfId="0" applyNumberFormat="1" applyFont="1" applyFill="1" applyAlignment="1">
      <alignment horizontal="center" vertical="center"/>
    </xf>
    <xf numFmtId="0" fontId="8" fillId="46" borderId="23" xfId="0" applyFont="1" applyFill="1" applyBorder="1" applyAlignment="1">
      <alignment horizontal="center" vertical="center"/>
    </xf>
    <xf numFmtId="0" fontId="8" fillId="46" borderId="19" xfId="0" applyFont="1" applyFill="1" applyBorder="1" applyAlignment="1">
      <alignment horizontal="center" vertical="center"/>
    </xf>
    <xf numFmtId="0" fontId="8" fillId="46" borderId="23" xfId="0" applyFont="1" applyFill="1" applyBorder="1" applyAlignment="1">
      <alignment vertical="center"/>
    </xf>
    <xf numFmtId="0" fontId="8" fillId="46" borderId="21" xfId="0" applyFont="1" applyFill="1" applyBorder="1" applyAlignment="1">
      <alignment vertical="center"/>
    </xf>
    <xf numFmtId="0" fontId="8" fillId="46" borderId="23" xfId="0" applyFont="1" applyFill="1" applyBorder="1" applyAlignment="1">
      <alignment horizontal="center"/>
    </xf>
    <xf numFmtId="0" fontId="8" fillId="46" borderId="21" xfId="0" applyFont="1" applyFill="1" applyBorder="1" applyAlignment="1">
      <alignment horizontal="center"/>
    </xf>
    <xf numFmtId="0" fontId="4" fillId="46" borderId="21" xfId="0" applyFont="1" applyFill="1" applyBorder="1" applyAlignment="1">
      <alignment vertical="center"/>
    </xf>
    <xf numFmtId="0" fontId="4" fillId="46" borderId="19" xfId="0" applyFont="1" applyFill="1" applyBorder="1" applyAlignment="1">
      <alignment vertical="center"/>
    </xf>
    <xf numFmtId="4" fontId="7" fillId="46" borderId="19" xfId="0" applyNumberFormat="1" applyFont="1" applyFill="1" applyBorder="1" applyAlignment="1">
      <alignment horizontal="center" vertical="center" wrapText="1"/>
    </xf>
    <xf numFmtId="49" fontId="7" fillId="46" borderId="19" xfId="0" applyNumberFormat="1" applyFont="1" applyFill="1" applyBorder="1" applyAlignment="1">
      <alignment horizontal="center" vertical="center"/>
    </xf>
    <xf numFmtId="14" fontId="7" fillId="46" borderId="19" xfId="0" applyNumberFormat="1" applyFont="1" applyFill="1" applyBorder="1" applyAlignment="1">
      <alignment horizontal="center" vertical="center"/>
    </xf>
    <xf numFmtId="4" fontId="6" fillId="46" borderId="21" xfId="0" applyNumberFormat="1" applyFont="1" applyFill="1" applyBorder="1" applyAlignment="1">
      <alignment vertical="center"/>
    </xf>
    <xf numFmtId="0" fontId="7" fillId="46" borderId="19" xfId="79" applyFont="1" applyFill="1" applyBorder="1" applyAlignment="1">
      <alignment horizontal="center" vertical="center"/>
      <protection/>
    </xf>
    <xf numFmtId="0" fontId="7" fillId="46" borderId="19" xfId="79" applyFont="1" applyFill="1" applyBorder="1" applyAlignment="1">
      <alignment horizontal="center" vertical="center" wrapText="1"/>
      <protection/>
    </xf>
    <xf numFmtId="49" fontId="7" fillId="46" borderId="19" xfId="79" applyNumberFormat="1" applyFont="1" applyFill="1" applyBorder="1" applyAlignment="1">
      <alignment horizontal="center" vertical="center" wrapText="1"/>
      <protection/>
    </xf>
    <xf numFmtId="0" fontId="6" fillId="46" borderId="19" xfId="0" applyFont="1" applyFill="1" applyBorder="1" applyAlignment="1">
      <alignment vertical="center"/>
    </xf>
    <xf numFmtId="14" fontId="7" fillId="46" borderId="21" xfId="0" applyNumberFormat="1" applyFont="1" applyFill="1" applyBorder="1" applyAlignment="1">
      <alignment horizontal="center" vertical="center"/>
    </xf>
    <xf numFmtId="1" fontId="6" fillId="46" borderId="23" xfId="0" applyNumberFormat="1" applyFont="1" applyFill="1" applyBorder="1" applyAlignment="1">
      <alignment horizontal="center" vertical="center" wrapText="1"/>
    </xf>
    <xf numFmtId="0" fontId="7" fillId="46" borderId="19" xfId="0" applyFont="1" applyFill="1" applyBorder="1" applyAlignment="1">
      <alignment wrapText="1"/>
    </xf>
    <xf numFmtId="0" fontId="55" fillId="46" borderId="19" xfId="0" applyFont="1" applyFill="1" applyBorder="1" applyAlignment="1">
      <alignment horizontal="center" vertical="center"/>
    </xf>
    <xf numFmtId="0" fontId="7" fillId="46" borderId="19" xfId="87" applyFont="1" applyFill="1" applyBorder="1" applyAlignment="1">
      <alignment horizontal="center" vertical="top" wrapText="1"/>
      <protection/>
    </xf>
    <xf numFmtId="4" fontId="7" fillId="46" borderId="19" xfId="87" applyNumberFormat="1" applyFont="1" applyFill="1" applyBorder="1" applyAlignment="1">
      <alignment horizontal="center" vertical="top" wrapText="1"/>
      <protection/>
    </xf>
    <xf numFmtId="4" fontId="7" fillId="46" borderId="19" xfId="0" applyNumberFormat="1" applyFont="1" applyFill="1" applyBorder="1" applyAlignment="1" applyProtection="1">
      <alignment horizontal="center" vertical="center"/>
      <protection/>
    </xf>
    <xf numFmtId="14" fontId="7" fillId="46" borderId="19" xfId="0" applyNumberFormat="1" applyFont="1" applyFill="1" applyBorder="1" applyAlignment="1">
      <alignment horizontal="center" vertical="center" wrapText="1"/>
    </xf>
    <xf numFmtId="1" fontId="7" fillId="46" borderId="19" xfId="79" applyNumberFormat="1" applyFont="1" applyFill="1" applyBorder="1" applyAlignment="1">
      <alignment horizontal="center" vertical="center" wrapText="1"/>
      <protection/>
    </xf>
    <xf numFmtId="4" fontId="56" fillId="46" borderId="19" xfId="0" applyNumberFormat="1" applyFont="1" applyFill="1" applyBorder="1" applyAlignment="1">
      <alignment horizontal="center" vertical="center" wrapText="1"/>
    </xf>
    <xf numFmtId="4" fontId="56" fillId="46" borderId="19" xfId="0" applyNumberFormat="1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/>
    </xf>
    <xf numFmtId="0" fontId="55" fillId="46" borderId="19" xfId="0" applyFont="1" applyFill="1" applyBorder="1" applyAlignment="1">
      <alignment wrapText="1"/>
    </xf>
    <xf numFmtId="0" fontId="7" fillId="46" borderId="19" xfId="79" applyFont="1" applyFill="1" applyBorder="1" applyAlignment="1">
      <alignment horizontal="center"/>
      <protection/>
    </xf>
    <xf numFmtId="0" fontId="6" fillId="46" borderId="19" xfId="0" applyFont="1" applyFill="1" applyBorder="1" applyAlignment="1">
      <alignment/>
    </xf>
    <xf numFmtId="2" fontId="6" fillId="46" borderId="19" xfId="0" applyNumberFormat="1" applyFont="1" applyFill="1" applyBorder="1" applyAlignment="1">
      <alignment horizontal="center"/>
    </xf>
    <xf numFmtId="1" fontId="7" fillId="46" borderId="19" xfId="0" applyNumberFormat="1" applyFont="1" applyFill="1" applyBorder="1" applyAlignment="1">
      <alignment horizontal="center"/>
    </xf>
    <xf numFmtId="0" fontId="6" fillId="46" borderId="21" xfId="0" applyFont="1" applyFill="1" applyBorder="1" applyAlignment="1">
      <alignment/>
    </xf>
    <xf numFmtId="2" fontId="7" fillId="46" borderId="23" xfId="0" applyNumberFormat="1" applyFont="1" applyFill="1" applyBorder="1" applyAlignment="1">
      <alignment horizontal="center"/>
    </xf>
    <xf numFmtId="0" fontId="7" fillId="46" borderId="23" xfId="0" applyFont="1" applyFill="1" applyBorder="1" applyAlignment="1">
      <alignment horizontal="center"/>
    </xf>
    <xf numFmtId="0" fontId="7" fillId="46" borderId="21" xfId="0" applyFont="1" applyFill="1" applyBorder="1" applyAlignment="1">
      <alignment horizontal="center"/>
    </xf>
    <xf numFmtId="0" fontId="7" fillId="46" borderId="19" xfId="0" applyFont="1" applyFill="1" applyBorder="1" applyAlignment="1">
      <alignment horizontal="center" vertical="top" wrapText="1"/>
    </xf>
    <xf numFmtId="1" fontId="7" fillId="46" borderId="20" xfId="91" applyNumberFormat="1" applyFont="1" applyFill="1" applyBorder="1" applyAlignment="1" quotePrefix="1">
      <alignment horizontal="center" vertical="center" wrapText="1"/>
      <protection/>
    </xf>
    <xf numFmtId="1" fontId="7" fillId="46" borderId="20" xfId="0" applyNumberFormat="1" applyFont="1" applyFill="1" applyBorder="1" applyAlignment="1">
      <alignment horizontal="center" vertical="center"/>
    </xf>
    <xf numFmtId="3" fontId="7" fillId="46" borderId="20" xfId="0" applyNumberFormat="1" applyFont="1" applyFill="1" applyBorder="1" applyAlignment="1">
      <alignment horizontal="center" vertical="center" wrapText="1"/>
    </xf>
    <xf numFmtId="1" fontId="7" fillId="46" borderId="19" xfId="91" applyNumberFormat="1" applyFont="1" applyFill="1" applyBorder="1" applyAlignment="1" quotePrefix="1">
      <alignment horizontal="center" vertical="center" wrapText="1"/>
      <protection/>
    </xf>
    <xf numFmtId="1" fontId="7" fillId="46" borderId="19" xfId="79" applyNumberFormat="1" applyFont="1" applyFill="1" applyBorder="1" applyAlignment="1">
      <alignment horizontal="center"/>
      <protection/>
    </xf>
    <xf numFmtId="1" fontId="7" fillId="46" borderId="23" xfId="0" applyNumberFormat="1" applyFont="1" applyFill="1" applyBorder="1" applyAlignment="1">
      <alignment horizontal="center"/>
    </xf>
    <xf numFmtId="0" fontId="7" fillId="46" borderId="21" xfId="0" applyFont="1" applyFill="1" applyBorder="1" applyAlignment="1">
      <alignment/>
    </xf>
    <xf numFmtId="4" fontId="6" fillId="46" borderId="19" xfId="0" applyNumberFormat="1" applyFont="1" applyFill="1" applyBorder="1" applyAlignment="1">
      <alignment horizontal="center"/>
    </xf>
    <xf numFmtId="1" fontId="6" fillId="46" borderId="19" xfId="0" applyNumberFormat="1" applyFont="1" applyFill="1" applyBorder="1" applyAlignment="1">
      <alignment horizontal="center"/>
    </xf>
    <xf numFmtId="0" fontId="6" fillId="46" borderId="19" xfId="0" applyFont="1" applyFill="1" applyBorder="1" applyAlignment="1">
      <alignment horizontal="center"/>
    </xf>
    <xf numFmtId="4" fontId="7" fillId="46" borderId="19" xfId="79" applyNumberFormat="1" applyFont="1" applyFill="1" applyBorder="1" applyAlignment="1">
      <alignment horizontal="center" vertical="center"/>
      <protection/>
    </xf>
    <xf numFmtId="0" fontId="7" fillId="46" borderId="21" xfId="0" applyFont="1" applyFill="1" applyBorder="1" applyAlignment="1">
      <alignment horizontal="center" vertical="center"/>
    </xf>
    <xf numFmtId="0" fontId="7" fillId="46" borderId="23" xfId="0" applyFont="1" applyFill="1" applyBorder="1" applyAlignment="1">
      <alignment horizontal="center" vertical="center"/>
    </xf>
    <xf numFmtId="1" fontId="7" fillId="46" borderId="23" xfId="0" applyNumberFormat="1" applyFont="1" applyFill="1" applyBorder="1" applyAlignment="1">
      <alignment horizontal="center" vertical="center"/>
    </xf>
    <xf numFmtId="2" fontId="7" fillId="46" borderId="23" xfId="0" applyNumberFormat="1" applyFont="1" applyFill="1" applyBorder="1" applyAlignment="1">
      <alignment horizontal="center" vertical="center"/>
    </xf>
    <xf numFmtId="0" fontId="7" fillId="46" borderId="19" xfId="79" applyFont="1" applyFill="1" applyBorder="1" applyAlignment="1">
      <alignment horizontal="center" vertical="top" wrapText="1"/>
      <protection/>
    </xf>
    <xf numFmtId="0" fontId="7" fillId="46" borderId="0" xfId="0" applyFont="1" applyFill="1" applyBorder="1" applyAlignment="1">
      <alignment horizontal="left" vertical="top" wrapText="1"/>
    </xf>
    <xf numFmtId="1" fontId="7" fillId="46" borderId="19" xfId="91" applyNumberFormat="1" applyFont="1" applyFill="1" applyBorder="1" applyAlignment="1" quotePrefix="1">
      <alignment horizontal="center" vertical="center"/>
      <protection/>
    </xf>
    <xf numFmtId="1" fontId="7" fillId="46" borderId="19" xfId="91" applyNumberFormat="1" applyFont="1" applyFill="1" applyBorder="1" applyAlignment="1">
      <alignment horizontal="center" vertical="center" wrapText="1"/>
      <protection/>
    </xf>
    <xf numFmtId="0" fontId="6" fillId="46" borderId="19" xfId="0" applyFont="1" applyFill="1" applyBorder="1" applyAlignment="1">
      <alignment/>
    </xf>
    <xf numFmtId="4" fontId="6" fillId="46" borderId="19" xfId="0" applyNumberFormat="1" applyFont="1" applyFill="1" applyBorder="1" applyAlignment="1">
      <alignment vertical="center"/>
    </xf>
    <xf numFmtId="0" fontId="57" fillId="46" borderId="19" xfId="0" applyFont="1" applyFill="1" applyBorder="1" applyAlignment="1">
      <alignment horizontal="center" vertical="center" wrapText="1"/>
    </xf>
    <xf numFmtId="1" fontId="55" fillId="46" borderId="19" xfId="0" applyNumberFormat="1" applyFont="1" applyFill="1" applyBorder="1" applyAlignment="1">
      <alignment horizontal="center" vertical="center"/>
    </xf>
    <xf numFmtId="0" fontId="6" fillId="46" borderId="0" xfId="0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horizontal="center" wrapText="1"/>
    </xf>
    <xf numFmtId="4" fontId="7" fillId="46" borderId="21" xfId="0" applyNumberFormat="1" applyFont="1" applyFill="1" applyBorder="1" applyAlignment="1">
      <alignment vertical="center"/>
    </xf>
    <xf numFmtId="0" fontId="7" fillId="46" borderId="19" xfId="86" applyFont="1" applyFill="1" applyBorder="1" applyAlignment="1">
      <alignment horizontal="center" vertical="center"/>
      <protection/>
    </xf>
    <xf numFmtId="0" fontId="7" fillId="46" borderId="22" xfId="86" applyFont="1" applyFill="1" applyBorder="1" applyAlignment="1">
      <alignment horizontal="center" vertical="center"/>
      <protection/>
    </xf>
    <xf numFmtId="0" fontId="7" fillId="46" borderId="19" xfId="86" applyFont="1" applyFill="1" applyBorder="1" applyAlignment="1">
      <alignment horizontal="center" vertical="top" wrapText="1"/>
      <protection/>
    </xf>
    <xf numFmtId="0" fontId="7" fillId="46" borderId="20" xfId="86" applyFont="1" applyFill="1" applyBorder="1" applyAlignment="1">
      <alignment horizontal="center" vertical="center" wrapText="1"/>
      <protection/>
    </xf>
    <xf numFmtId="4" fontId="6" fillId="46" borderId="0" xfId="0" applyNumberFormat="1" applyFont="1" applyFill="1" applyAlignment="1">
      <alignment vertical="center"/>
    </xf>
    <xf numFmtId="3" fontId="7" fillId="46" borderId="19" xfId="79" applyNumberFormat="1" applyFont="1" applyFill="1" applyBorder="1" applyAlignment="1">
      <alignment horizontal="center" vertical="center"/>
      <protection/>
    </xf>
    <xf numFmtId="3" fontId="6" fillId="46" borderId="19" xfId="0" applyNumberFormat="1" applyFont="1" applyFill="1" applyBorder="1" applyAlignment="1">
      <alignment horizontal="center" vertical="center"/>
    </xf>
    <xf numFmtId="4" fontId="28" fillId="46" borderId="19" xfId="0" applyNumberFormat="1" applyFont="1" applyFill="1" applyBorder="1" applyAlignment="1">
      <alignment horizontal="center" vertical="center" wrapText="1"/>
    </xf>
    <xf numFmtId="4" fontId="55" fillId="46" borderId="19" xfId="0" applyNumberFormat="1" applyFont="1" applyFill="1" applyBorder="1" applyAlignment="1">
      <alignment horizontal="center" vertical="center"/>
    </xf>
    <xf numFmtId="4" fontId="7" fillId="46" borderId="19" xfId="79" applyNumberFormat="1" applyFont="1" applyFill="1" applyBorder="1" applyAlignment="1">
      <alignment horizontal="center" vertical="center" wrapText="1"/>
      <protection/>
    </xf>
    <xf numFmtId="3" fontId="7" fillId="46" borderId="19" xfId="87" applyNumberFormat="1" applyFont="1" applyFill="1" applyBorder="1" applyAlignment="1">
      <alignment horizontal="center" vertical="top" wrapText="1"/>
      <protection/>
    </xf>
    <xf numFmtId="3" fontId="7" fillId="46" borderId="19" xfId="79" applyNumberFormat="1" applyFont="1" applyFill="1" applyBorder="1" applyAlignment="1">
      <alignment horizontal="center" vertical="center" wrapText="1"/>
      <protection/>
    </xf>
    <xf numFmtId="3" fontId="6" fillId="46" borderId="19" xfId="0" applyNumberFormat="1" applyFont="1" applyFill="1" applyBorder="1" applyAlignment="1">
      <alignment horizontal="center"/>
    </xf>
    <xf numFmtId="4" fontId="7" fillId="46" borderId="19" xfId="0" applyNumberFormat="1" applyFont="1" applyFill="1" applyBorder="1" applyAlignment="1">
      <alignment horizontal="center" vertical="top" wrapText="1"/>
    </xf>
    <xf numFmtId="4" fontId="7" fillId="46" borderId="19" xfId="79" applyNumberFormat="1" applyFont="1" applyFill="1" applyBorder="1" applyAlignment="1">
      <alignment horizontal="center"/>
      <protection/>
    </xf>
    <xf numFmtId="3" fontId="7" fillId="46" borderId="19" xfId="0" applyNumberFormat="1" applyFont="1" applyFill="1" applyBorder="1" applyAlignment="1">
      <alignment horizontal="center" vertical="top" wrapText="1"/>
    </xf>
    <xf numFmtId="3" fontId="7" fillId="46" borderId="22" xfId="0" applyNumberFormat="1" applyFont="1" applyFill="1" applyBorder="1" applyAlignment="1">
      <alignment horizontal="center" vertical="center" wrapText="1"/>
    </xf>
    <xf numFmtId="3" fontId="7" fillId="46" borderId="19" xfId="79" applyNumberFormat="1" applyFont="1" applyFill="1" applyBorder="1" applyAlignment="1">
      <alignment horizontal="center"/>
      <protection/>
    </xf>
    <xf numFmtId="4" fontId="7" fillId="46" borderId="19" xfId="79" applyNumberFormat="1" applyFont="1" applyFill="1" applyBorder="1" applyAlignment="1">
      <alignment horizontal="center" vertical="top" wrapText="1"/>
      <protection/>
    </xf>
    <xf numFmtId="3" fontId="7" fillId="46" borderId="19" xfId="79" applyNumberFormat="1" applyFont="1" applyFill="1" applyBorder="1" applyAlignment="1">
      <alignment horizontal="center" vertical="top" wrapText="1"/>
      <protection/>
    </xf>
    <xf numFmtId="3" fontId="7" fillId="46" borderId="20" xfId="0" applyNumberFormat="1" applyFont="1" applyFill="1" applyBorder="1" applyAlignment="1">
      <alignment horizontal="center" vertical="center"/>
    </xf>
    <xf numFmtId="4" fontId="6" fillId="46" borderId="23" xfId="0" applyNumberFormat="1" applyFont="1" applyFill="1" applyBorder="1" applyAlignment="1">
      <alignment horizontal="center"/>
    </xf>
    <xf numFmtId="4" fontId="57" fillId="46" borderId="19" xfId="0" applyNumberFormat="1" applyFont="1" applyFill="1" applyBorder="1" applyAlignment="1">
      <alignment horizontal="center" vertical="center" wrapText="1"/>
    </xf>
    <xf numFmtId="3" fontId="6" fillId="46" borderId="23" xfId="0" applyNumberFormat="1" applyFont="1" applyFill="1" applyBorder="1" applyAlignment="1">
      <alignment horizontal="center"/>
    </xf>
    <xf numFmtId="4" fontId="7" fillId="46" borderId="19" xfId="0" applyNumberFormat="1" applyFont="1" applyFill="1" applyBorder="1" applyAlignment="1">
      <alignment horizontal="center" wrapText="1"/>
    </xf>
    <xf numFmtId="3" fontId="7" fillId="46" borderId="19" xfId="0" applyNumberFormat="1" applyFont="1" applyFill="1" applyBorder="1" applyAlignment="1">
      <alignment horizontal="center" wrapText="1"/>
    </xf>
    <xf numFmtId="4" fontId="7" fillId="46" borderId="19" xfId="86" applyNumberFormat="1" applyFont="1" applyFill="1" applyBorder="1" applyAlignment="1">
      <alignment horizontal="center" vertical="center"/>
      <protection/>
    </xf>
    <xf numFmtId="4" fontId="7" fillId="46" borderId="19" xfId="86" applyNumberFormat="1" applyFont="1" applyFill="1" applyBorder="1" applyAlignment="1">
      <alignment horizontal="center"/>
      <protection/>
    </xf>
    <xf numFmtId="4" fontId="7" fillId="46" borderId="22" xfId="86" applyNumberFormat="1" applyFont="1" applyFill="1" applyBorder="1" applyAlignment="1">
      <alignment horizontal="center" vertical="center"/>
      <protection/>
    </xf>
    <xf numFmtId="4" fontId="7" fillId="46" borderId="19" xfId="86" applyNumberFormat="1" applyFont="1" applyFill="1" applyBorder="1" applyAlignment="1">
      <alignment horizontal="center" vertical="top" wrapText="1"/>
      <protection/>
    </xf>
    <xf numFmtId="4" fontId="7" fillId="46" borderId="20" xfId="86" applyNumberFormat="1" applyFont="1" applyFill="1" applyBorder="1" applyAlignment="1">
      <alignment horizontal="center" vertical="center" wrapText="1"/>
      <protection/>
    </xf>
    <xf numFmtId="3" fontId="7" fillId="46" borderId="19" xfId="86" applyNumberFormat="1" applyFont="1" applyFill="1" applyBorder="1" applyAlignment="1">
      <alignment horizontal="center" vertical="center"/>
      <protection/>
    </xf>
    <xf numFmtId="3" fontId="7" fillId="46" borderId="22" xfId="86" applyNumberFormat="1" applyFont="1" applyFill="1" applyBorder="1" applyAlignment="1">
      <alignment horizontal="center" vertical="center"/>
      <protection/>
    </xf>
    <xf numFmtId="3" fontId="7" fillId="46" borderId="19" xfId="86" applyNumberFormat="1" applyFont="1" applyFill="1" applyBorder="1" applyAlignment="1">
      <alignment horizontal="center" vertical="top" wrapText="1"/>
      <protection/>
    </xf>
    <xf numFmtId="3" fontId="7" fillId="46" borderId="20" xfId="86" applyNumberFormat="1" applyFont="1" applyFill="1" applyBorder="1" applyAlignment="1">
      <alignment horizontal="center" vertical="center" wrapText="1"/>
      <protection/>
    </xf>
    <xf numFmtId="4" fontId="7" fillId="46" borderId="24" xfId="0" applyNumberFormat="1" applyFont="1" applyFill="1" applyBorder="1" applyAlignment="1">
      <alignment vertical="center" wrapText="1"/>
    </xf>
    <xf numFmtId="4" fontId="7" fillId="46" borderId="23" xfId="0" applyNumberFormat="1" applyFont="1" applyFill="1" applyBorder="1" applyAlignment="1">
      <alignment vertical="center" wrapText="1"/>
    </xf>
    <xf numFmtId="4" fontId="7" fillId="46" borderId="19" xfId="81" applyNumberFormat="1" applyFont="1" applyFill="1" applyBorder="1" applyAlignment="1">
      <alignment horizontal="center" vertical="center"/>
      <protection/>
    </xf>
    <xf numFmtId="4" fontId="7" fillId="46" borderId="19" xfId="0" applyNumberFormat="1" applyFont="1" applyFill="1" applyBorder="1" applyAlignment="1">
      <alignment horizontal="right" vertical="center"/>
    </xf>
    <xf numFmtId="4" fontId="7" fillId="46" borderId="19" xfId="79" applyNumberFormat="1" applyFont="1" applyFill="1" applyBorder="1" applyAlignment="1">
      <alignment horizontal="right" vertical="center"/>
      <protection/>
    </xf>
    <xf numFmtId="4" fontId="7" fillId="46" borderId="19" xfId="0" applyNumberFormat="1" applyFont="1" applyFill="1" applyBorder="1" applyAlignment="1">
      <alignment vertical="center" wrapText="1"/>
    </xf>
    <xf numFmtId="4" fontId="7" fillId="46" borderId="0" xfId="149" applyNumberFormat="1" applyFont="1" applyFill="1" applyBorder="1" applyAlignment="1">
      <alignment horizontal="center" vertical="center" wrapText="1"/>
      <protection/>
    </xf>
    <xf numFmtId="4" fontId="7" fillId="46" borderId="19" xfId="97" applyNumberFormat="1" applyFont="1" applyFill="1" applyBorder="1" applyAlignment="1">
      <alignment horizontal="center" vertical="center"/>
      <protection/>
    </xf>
    <xf numFmtId="4" fontId="7" fillId="46" borderId="19" xfId="81" applyNumberFormat="1" applyFont="1" applyFill="1" applyBorder="1" applyAlignment="1" applyProtection="1">
      <alignment horizontal="center" vertical="center"/>
      <protection/>
    </xf>
    <xf numFmtId="4" fontId="7" fillId="46" borderId="22" xfId="86" applyNumberFormat="1" applyFont="1" applyFill="1" applyBorder="1" applyAlignment="1">
      <alignment horizontal="center"/>
      <protection/>
    </xf>
    <xf numFmtId="4" fontId="7" fillId="46" borderId="19" xfId="86" applyNumberFormat="1" applyFont="1" applyFill="1" applyBorder="1" applyAlignment="1">
      <alignment horizontal="center" vertical="center" wrapText="1"/>
      <protection/>
    </xf>
    <xf numFmtId="4" fontId="7" fillId="46" borderId="19" xfId="150" applyNumberFormat="1" applyFont="1" applyFill="1" applyBorder="1" applyAlignment="1">
      <alignment horizontal="center" vertical="center"/>
    </xf>
    <xf numFmtId="4" fontId="7" fillId="46" borderId="19" xfId="0" applyNumberFormat="1" applyFont="1" applyFill="1" applyBorder="1" applyAlignment="1">
      <alignment horizontal="right" vertical="center" indent="1"/>
    </xf>
    <xf numFmtId="0" fontId="7" fillId="46" borderId="19" xfId="79" applyFont="1" applyFill="1" applyBorder="1" applyAlignment="1">
      <alignment horizontal="left" vertical="center"/>
      <protection/>
    </xf>
    <xf numFmtId="0" fontId="7" fillId="46" borderId="0" xfId="0" applyFont="1" applyFill="1" applyAlignment="1">
      <alignment wrapText="1"/>
    </xf>
    <xf numFmtId="4" fontId="7" fillId="46" borderId="19" xfId="156" applyNumberFormat="1" applyFont="1" applyFill="1" applyBorder="1" applyAlignment="1">
      <alignment horizontal="center" vertical="center"/>
    </xf>
    <xf numFmtId="4" fontId="7" fillId="46" borderId="19" xfId="0" applyNumberFormat="1" applyFont="1" applyFill="1" applyBorder="1" applyAlignment="1">
      <alignment/>
    </xf>
    <xf numFmtId="4" fontId="6" fillId="46" borderId="24" xfId="0" applyNumberFormat="1" applyFont="1" applyFill="1" applyBorder="1" applyAlignment="1">
      <alignment vertical="center"/>
    </xf>
    <xf numFmtId="191" fontId="4" fillId="46" borderId="0" xfId="0" applyNumberFormat="1" applyFont="1" applyFill="1" applyAlignment="1">
      <alignment horizontal="center" vertical="center"/>
    </xf>
    <xf numFmtId="4" fontId="4" fillId="46" borderId="19" xfId="0" applyNumberFormat="1" applyFont="1" applyFill="1" applyBorder="1" applyAlignment="1">
      <alignment vertical="center"/>
    </xf>
    <xf numFmtId="4" fontId="7" fillId="46" borderId="19" xfId="0" applyNumberFormat="1" applyFont="1" applyFill="1" applyBorder="1" applyAlignment="1">
      <alignment horizontal="left" vertical="center" wrapText="1"/>
    </xf>
    <xf numFmtId="0" fontId="6" fillId="46" borderId="19" xfId="0" applyFont="1" applyFill="1" applyBorder="1" applyAlignment="1">
      <alignment horizontal="center" vertical="center"/>
    </xf>
    <xf numFmtId="0" fontId="6" fillId="46" borderId="23" xfId="0" applyFont="1" applyFill="1" applyBorder="1" applyAlignment="1">
      <alignment horizontal="center" vertical="center" wrapText="1"/>
    </xf>
    <xf numFmtId="0" fontId="6" fillId="46" borderId="21" xfId="0" applyFont="1" applyFill="1" applyBorder="1" applyAlignment="1">
      <alignment horizontal="center" vertical="center" wrapText="1"/>
    </xf>
    <xf numFmtId="4" fontId="6" fillId="46" borderId="21" xfId="0" applyNumberFormat="1" applyFont="1" applyFill="1" applyBorder="1" applyAlignment="1">
      <alignment horizontal="left" vertical="center"/>
    </xf>
    <xf numFmtId="0" fontId="6" fillId="46" borderId="23" xfId="0" applyFont="1" applyFill="1" applyBorder="1" applyAlignment="1">
      <alignment horizontal="center" vertical="center"/>
    </xf>
    <xf numFmtId="0" fontId="6" fillId="46" borderId="21" xfId="0" applyFont="1" applyFill="1" applyBorder="1" applyAlignment="1">
      <alignment horizontal="center" vertical="center"/>
    </xf>
    <xf numFmtId="0" fontId="6" fillId="46" borderId="23" xfId="0" applyFont="1" applyFill="1" applyBorder="1" applyAlignment="1">
      <alignment horizontal="center"/>
    </xf>
    <xf numFmtId="0" fontId="6" fillId="46" borderId="21" xfId="0" applyFont="1" applyFill="1" applyBorder="1" applyAlignment="1">
      <alignment horizontal="center"/>
    </xf>
    <xf numFmtId="4" fontId="7" fillId="46" borderId="19" xfId="0" applyNumberFormat="1" applyFont="1" applyFill="1" applyBorder="1" applyAlignment="1">
      <alignment horizontal="left" vertical="center"/>
    </xf>
    <xf numFmtId="0" fontId="6" fillId="46" borderId="19" xfId="0" applyFont="1" applyFill="1" applyBorder="1" applyAlignment="1">
      <alignment horizontal="center" vertical="center" wrapText="1"/>
    </xf>
    <xf numFmtId="4" fontId="7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wrapText="1"/>
    </xf>
    <xf numFmtId="0" fontId="7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2" fontId="4" fillId="46" borderId="19" xfId="0" applyNumberFormat="1" applyFont="1" applyFill="1" applyBorder="1" applyAlignment="1">
      <alignment horizontal="center" vertical="center" wrapText="1"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0" fontId="6" fillId="46" borderId="21" xfId="0" applyFont="1" applyFill="1" applyBorder="1" applyAlignment="1">
      <alignment vertical="center"/>
    </xf>
    <xf numFmtId="0" fontId="7" fillId="46" borderId="19" xfId="0" applyFont="1" applyFill="1" applyBorder="1" applyAlignment="1">
      <alignment horizontal="center" vertical="center"/>
    </xf>
    <xf numFmtId="4" fontId="6" fillId="46" borderId="23" xfId="0" applyNumberFormat="1" applyFont="1" applyFill="1" applyBorder="1" applyAlignment="1">
      <alignment horizontal="center" vertical="center" wrapText="1"/>
    </xf>
    <xf numFmtId="4" fontId="6" fillId="46" borderId="21" xfId="0" applyNumberFormat="1" applyFont="1" applyFill="1" applyBorder="1" applyAlignment="1">
      <alignment horizontal="center" vertical="center" wrapText="1"/>
    </xf>
    <xf numFmtId="4" fontId="6" fillId="46" borderId="19" xfId="0" applyNumberFormat="1" applyFont="1" applyFill="1" applyBorder="1" applyAlignment="1">
      <alignment horizontal="center" vertical="center" wrapText="1"/>
    </xf>
    <xf numFmtId="4" fontId="7" fillId="46" borderId="22" xfId="0" applyNumberFormat="1" applyFont="1" applyFill="1" applyBorder="1" applyAlignment="1">
      <alignment horizontal="center" vertical="center" wrapText="1"/>
    </xf>
    <xf numFmtId="4" fontId="7" fillId="46" borderId="20" xfId="0" applyNumberFormat="1" applyFont="1" applyFill="1" applyBorder="1" applyAlignment="1">
      <alignment horizontal="center" vertical="center" wrapText="1"/>
    </xf>
    <xf numFmtId="0" fontId="6" fillId="46" borderId="0" xfId="0" applyFont="1" applyFill="1" applyAlignment="1">
      <alignment horizontal="center" vertical="center"/>
    </xf>
    <xf numFmtId="1" fontId="7" fillId="46" borderId="20" xfId="0" applyNumberFormat="1" applyFont="1" applyFill="1" applyBorder="1" applyAlignment="1">
      <alignment horizontal="center" vertical="center" wrapText="1"/>
    </xf>
    <xf numFmtId="0" fontId="7" fillId="46" borderId="22" xfId="0" applyNumberFormat="1" applyFont="1" applyFill="1" applyBorder="1" applyAlignment="1">
      <alignment horizontal="center" vertical="center" wrapText="1"/>
    </xf>
    <xf numFmtId="4" fontId="7" fillId="46" borderId="24" xfId="0" applyNumberFormat="1" applyFont="1" applyFill="1" applyBorder="1" applyAlignment="1">
      <alignment horizontal="center" vertical="center"/>
    </xf>
    <xf numFmtId="4" fontId="7" fillId="46" borderId="21" xfId="0" applyNumberFormat="1" applyFont="1" applyFill="1" applyBorder="1" applyAlignment="1">
      <alignment horizontal="center" vertical="center"/>
    </xf>
    <xf numFmtId="4" fontId="7" fillId="46" borderId="21" xfId="0" applyNumberFormat="1" applyFont="1" applyFill="1" applyBorder="1" applyAlignment="1">
      <alignment horizontal="center" vertical="center" wrapText="1"/>
    </xf>
    <xf numFmtId="4" fontId="6" fillId="46" borderId="19" xfId="0" applyNumberFormat="1" applyFont="1" applyFill="1" applyBorder="1" applyAlignment="1">
      <alignment horizontal="center" vertical="center"/>
    </xf>
    <xf numFmtId="4" fontId="6" fillId="46" borderId="23" xfId="0" applyNumberFormat="1" applyFont="1" applyFill="1" applyBorder="1" applyAlignment="1">
      <alignment horizontal="center" vertical="center"/>
    </xf>
    <xf numFmtId="4" fontId="6" fillId="46" borderId="21" xfId="0" applyNumberFormat="1" applyFont="1" applyFill="1" applyBorder="1" applyAlignment="1">
      <alignment horizontal="center" vertical="center"/>
    </xf>
    <xf numFmtId="4" fontId="7" fillId="46" borderId="19" xfId="0" applyNumberFormat="1" applyFont="1" applyFill="1" applyBorder="1" applyAlignment="1">
      <alignment vertical="center"/>
    </xf>
    <xf numFmtId="4" fontId="6" fillId="46" borderId="19" xfId="97" applyNumberFormat="1" applyFont="1" applyFill="1" applyBorder="1" applyAlignment="1">
      <alignment horizontal="center" vertical="center"/>
      <protection/>
    </xf>
    <xf numFmtId="4" fontId="7" fillId="46" borderId="24" xfId="0" applyNumberFormat="1" applyFont="1" applyFill="1" applyBorder="1" applyAlignment="1">
      <alignment horizontal="center"/>
    </xf>
    <xf numFmtId="3" fontId="7" fillId="46" borderId="21" xfId="0" applyNumberFormat="1" applyFont="1" applyFill="1" applyBorder="1" applyAlignment="1">
      <alignment horizontal="center"/>
    </xf>
    <xf numFmtId="3" fontId="7" fillId="46" borderId="21" xfId="0" applyNumberFormat="1" applyFont="1" applyFill="1" applyBorder="1" applyAlignment="1">
      <alignment horizontal="center" vertical="center"/>
    </xf>
    <xf numFmtId="0" fontId="55" fillId="46" borderId="19" xfId="0" applyFont="1" applyFill="1" applyBorder="1" applyAlignment="1">
      <alignment horizontal="center" vertical="center" wrapText="1"/>
    </xf>
    <xf numFmtId="4" fontId="7" fillId="46" borderId="23" xfId="0" applyNumberFormat="1" applyFont="1" applyFill="1" applyBorder="1" applyAlignment="1">
      <alignment horizontal="center"/>
    </xf>
    <xf numFmtId="4" fontId="7" fillId="46" borderId="19" xfId="0" applyNumberFormat="1" applyFont="1" applyFill="1" applyBorder="1" applyAlignment="1">
      <alignment horizontal="left" vertical="center" wrapText="1"/>
    </xf>
    <xf numFmtId="0" fontId="6" fillId="46" borderId="24" xfId="0" applyFont="1" applyFill="1" applyBorder="1" applyAlignment="1">
      <alignment horizontal="left" vertical="center"/>
    </xf>
    <xf numFmtId="0" fontId="6" fillId="46" borderId="23" xfId="0" applyFont="1" applyFill="1" applyBorder="1" applyAlignment="1">
      <alignment horizontal="left" vertical="center"/>
    </xf>
    <xf numFmtId="0" fontId="6" fillId="46" borderId="21" xfId="0" applyFont="1" applyFill="1" applyBorder="1" applyAlignment="1">
      <alignment horizontal="left" vertical="center"/>
    </xf>
    <xf numFmtId="4" fontId="7" fillId="46" borderId="20" xfId="0" applyNumberFormat="1" applyFont="1" applyFill="1" applyBorder="1" applyAlignment="1">
      <alignment horizontal="left" vertical="center" wrapText="1"/>
    </xf>
    <xf numFmtId="4" fontId="6" fillId="46" borderId="19" xfId="0" applyNumberFormat="1" applyFont="1" applyFill="1" applyBorder="1" applyAlignment="1">
      <alignment horizontal="left" vertical="center" wrapText="1"/>
    </xf>
    <xf numFmtId="4" fontId="6" fillId="46" borderId="19" xfId="0" applyNumberFormat="1" applyFont="1" applyFill="1" applyBorder="1" applyAlignment="1">
      <alignment horizontal="left" vertical="center"/>
    </xf>
    <xf numFmtId="0" fontId="6" fillId="46" borderId="19" xfId="0" applyFont="1" applyFill="1" applyBorder="1" applyAlignment="1">
      <alignment horizontal="center" vertical="center"/>
    </xf>
    <xf numFmtId="0" fontId="6" fillId="46" borderId="24" xfId="0" applyFont="1" applyFill="1" applyBorder="1" applyAlignment="1">
      <alignment horizontal="center" vertical="center" wrapText="1"/>
    </xf>
    <xf numFmtId="0" fontId="6" fillId="46" borderId="23" xfId="0" applyFont="1" applyFill="1" applyBorder="1" applyAlignment="1">
      <alignment horizontal="center" vertical="center" wrapText="1"/>
    </xf>
    <xf numFmtId="0" fontId="6" fillId="46" borderId="21" xfId="0" applyFont="1" applyFill="1" applyBorder="1" applyAlignment="1">
      <alignment horizontal="center" vertical="center" wrapText="1"/>
    </xf>
    <xf numFmtId="4" fontId="6" fillId="46" borderId="24" xfId="0" applyNumberFormat="1" applyFont="1" applyFill="1" applyBorder="1" applyAlignment="1">
      <alignment horizontal="left" vertical="center"/>
    </xf>
    <xf numFmtId="4" fontId="6" fillId="46" borderId="23" xfId="0" applyNumberFormat="1" applyFont="1" applyFill="1" applyBorder="1" applyAlignment="1">
      <alignment horizontal="left" vertical="center"/>
    </xf>
    <xf numFmtId="4" fontId="6" fillId="46" borderId="21" xfId="0" applyNumberFormat="1" applyFont="1" applyFill="1" applyBorder="1" applyAlignment="1">
      <alignment horizontal="left" vertical="center"/>
    </xf>
    <xf numFmtId="0" fontId="6" fillId="46" borderId="19" xfId="0" applyFont="1" applyFill="1" applyBorder="1" applyAlignment="1">
      <alignment horizontal="left" vertical="center"/>
    </xf>
    <xf numFmtId="0" fontId="6" fillId="46" borderId="24" xfId="0" applyFont="1" applyFill="1" applyBorder="1" applyAlignment="1">
      <alignment horizontal="center" vertical="center"/>
    </xf>
    <xf numFmtId="0" fontId="6" fillId="46" borderId="23" xfId="0" applyFont="1" applyFill="1" applyBorder="1" applyAlignment="1">
      <alignment horizontal="center" vertical="center"/>
    </xf>
    <xf numFmtId="0" fontId="6" fillId="46" borderId="21" xfId="0" applyFont="1" applyFill="1" applyBorder="1" applyAlignment="1">
      <alignment horizontal="center" vertical="center"/>
    </xf>
    <xf numFmtId="0" fontId="6" fillId="46" borderId="24" xfId="0" applyFont="1" applyFill="1" applyBorder="1" applyAlignment="1">
      <alignment horizontal="center"/>
    </xf>
    <xf numFmtId="0" fontId="6" fillId="46" borderId="23" xfId="0" applyFont="1" applyFill="1" applyBorder="1" applyAlignment="1">
      <alignment horizontal="center"/>
    </xf>
    <xf numFmtId="0" fontId="6" fillId="46" borderId="21" xfId="0" applyFont="1" applyFill="1" applyBorder="1" applyAlignment="1">
      <alignment horizontal="center"/>
    </xf>
    <xf numFmtId="4" fontId="7" fillId="46" borderId="19" xfId="0" applyNumberFormat="1" applyFont="1" applyFill="1" applyBorder="1" applyAlignment="1">
      <alignment horizontal="left" vertical="center"/>
    </xf>
    <xf numFmtId="0" fontId="6" fillId="46" borderId="19" xfId="0" applyFont="1" applyFill="1" applyBorder="1" applyAlignment="1">
      <alignment horizontal="center" vertical="center" wrapText="1"/>
    </xf>
    <xf numFmtId="4" fontId="6" fillId="46" borderId="24" xfId="0" applyNumberFormat="1" applyFont="1" applyFill="1" applyBorder="1" applyAlignment="1">
      <alignment horizontal="left" vertical="center" wrapText="1"/>
    </xf>
    <xf numFmtId="4" fontId="6" fillId="46" borderId="23" xfId="0" applyNumberFormat="1" applyFont="1" applyFill="1" applyBorder="1" applyAlignment="1">
      <alignment horizontal="left" vertical="center" wrapText="1"/>
    </xf>
    <xf numFmtId="4" fontId="6" fillId="46" borderId="21" xfId="0" applyNumberFormat="1" applyFont="1" applyFill="1" applyBorder="1" applyAlignment="1">
      <alignment horizontal="left" vertical="center" wrapText="1"/>
    </xf>
    <xf numFmtId="4" fontId="7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textRotation="90" wrapText="1"/>
    </xf>
    <xf numFmtId="0" fontId="4" fillId="46" borderId="19" xfId="0" applyFont="1" applyFill="1" applyBorder="1" applyAlignment="1">
      <alignment horizontal="center" vertical="center" wrapText="1"/>
    </xf>
    <xf numFmtId="4" fontId="7" fillId="46" borderId="24" xfId="0" applyNumberFormat="1" applyFont="1" applyFill="1" applyBorder="1" applyAlignment="1">
      <alignment horizontal="left" vertical="center" wrapText="1"/>
    </xf>
    <xf numFmtId="4" fontId="7" fillId="46" borderId="21" xfId="0" applyNumberFormat="1" applyFont="1" applyFill="1" applyBorder="1" applyAlignment="1">
      <alignment horizontal="left" vertical="center" wrapText="1"/>
    </xf>
    <xf numFmtId="0" fontId="8" fillId="46" borderId="0" xfId="0" applyFont="1" applyFill="1" applyBorder="1" applyAlignment="1">
      <alignment horizontal="center" vertical="center"/>
    </xf>
    <xf numFmtId="0" fontId="7" fillId="46" borderId="19" xfId="0" applyFont="1" applyFill="1" applyBorder="1" applyAlignment="1">
      <alignment horizontal="center" vertical="center" wrapText="1"/>
    </xf>
    <xf numFmtId="0" fontId="4" fillId="46" borderId="19" xfId="0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 textRotation="90"/>
    </xf>
    <xf numFmtId="2" fontId="4" fillId="46" borderId="19" xfId="0" applyNumberFormat="1" applyFont="1" applyFill="1" applyBorder="1" applyAlignment="1">
      <alignment horizontal="center" vertical="center" wrapText="1"/>
    </xf>
    <xf numFmtId="2" fontId="4" fillId="46" borderId="19" xfId="0" applyNumberFormat="1" applyFont="1" applyFill="1" applyBorder="1" applyAlignment="1">
      <alignment horizontal="center" vertical="center" textRotation="90" wrapText="1"/>
    </xf>
    <xf numFmtId="0" fontId="6" fillId="46" borderId="24" xfId="0" applyFont="1" applyFill="1" applyBorder="1" applyAlignment="1">
      <alignment vertical="center"/>
    </xf>
    <xf numFmtId="0" fontId="6" fillId="46" borderId="23" xfId="0" applyFont="1" applyFill="1" applyBorder="1" applyAlignment="1">
      <alignment vertical="center"/>
    </xf>
    <xf numFmtId="0" fontId="6" fillId="46" borderId="21" xfId="0" applyFont="1" applyFill="1" applyBorder="1" applyAlignment="1">
      <alignment vertical="center"/>
    </xf>
    <xf numFmtId="0" fontId="6" fillId="46" borderId="24" xfId="0" applyFont="1" applyFill="1" applyBorder="1" applyAlignment="1">
      <alignment horizontal="left" vertical="center" wrapText="1"/>
    </xf>
    <xf numFmtId="0" fontId="6" fillId="46" borderId="23" xfId="0" applyFont="1" applyFill="1" applyBorder="1" applyAlignment="1">
      <alignment horizontal="left" vertical="center" wrapText="1"/>
    </xf>
    <xf numFmtId="0" fontId="6" fillId="46" borderId="21" xfId="0" applyFont="1" applyFill="1" applyBorder="1" applyAlignment="1">
      <alignment horizontal="left" vertical="center" wrapText="1"/>
    </xf>
    <xf numFmtId="1" fontId="4" fillId="46" borderId="19" xfId="0" applyNumberFormat="1" applyFont="1" applyFill="1" applyBorder="1" applyAlignment="1">
      <alignment horizontal="center" vertical="center" textRotation="90" wrapText="1"/>
    </xf>
    <xf numFmtId="0" fontId="7" fillId="46" borderId="19" xfId="0" applyFont="1" applyFill="1" applyBorder="1" applyAlignment="1">
      <alignment horizontal="left" vertical="center"/>
    </xf>
    <xf numFmtId="0" fontId="7" fillId="46" borderId="21" xfId="0" applyFont="1" applyFill="1" applyBorder="1" applyAlignment="1">
      <alignment vertical="center"/>
    </xf>
    <xf numFmtId="0" fontId="7" fillId="46" borderId="19" xfId="0" applyFont="1" applyFill="1" applyBorder="1" applyAlignment="1">
      <alignment horizontal="center" vertical="center"/>
    </xf>
    <xf numFmtId="4" fontId="6" fillId="46" borderId="24" xfId="0" applyNumberFormat="1" applyFont="1" applyFill="1" applyBorder="1" applyAlignment="1">
      <alignment horizontal="center" vertical="center" wrapText="1"/>
    </xf>
    <xf numFmtId="4" fontId="6" fillId="46" borderId="23" xfId="0" applyNumberFormat="1" applyFont="1" applyFill="1" applyBorder="1" applyAlignment="1">
      <alignment horizontal="center" vertical="center" wrapText="1"/>
    </xf>
    <xf numFmtId="4" fontId="6" fillId="46" borderId="21" xfId="0" applyNumberFormat="1" applyFont="1" applyFill="1" applyBorder="1" applyAlignment="1">
      <alignment horizontal="center" vertical="center" wrapText="1"/>
    </xf>
    <xf numFmtId="4" fontId="6" fillId="46" borderId="19" xfId="0" applyNumberFormat="1" applyFont="1" applyFill="1" applyBorder="1" applyAlignment="1">
      <alignment horizontal="center" vertical="center" wrapText="1"/>
    </xf>
    <xf numFmtId="4" fontId="7" fillId="46" borderId="24" xfId="0" applyNumberFormat="1" applyFont="1" applyFill="1" applyBorder="1" applyAlignment="1">
      <alignment horizontal="left" vertical="center"/>
    </xf>
    <xf numFmtId="4" fontId="7" fillId="46" borderId="21" xfId="0" applyNumberFormat="1" applyFont="1" applyFill="1" applyBorder="1" applyAlignment="1">
      <alignment horizontal="left" vertical="center"/>
    </xf>
    <xf numFmtId="4" fontId="7" fillId="46" borderId="22" xfId="0" applyNumberFormat="1" applyFont="1" applyFill="1" applyBorder="1" applyAlignment="1">
      <alignment horizontal="center" vertical="center" wrapText="1"/>
    </xf>
    <xf numFmtId="4" fontId="7" fillId="46" borderId="25" xfId="0" applyNumberFormat="1" applyFont="1" applyFill="1" applyBorder="1" applyAlignment="1">
      <alignment horizontal="center" vertical="center" wrapText="1"/>
    </xf>
    <xf numFmtId="4" fontId="7" fillId="46" borderId="20" xfId="0" applyNumberFormat="1" applyFont="1" applyFill="1" applyBorder="1" applyAlignment="1">
      <alignment horizontal="center" vertical="center" wrapText="1"/>
    </xf>
    <xf numFmtId="4" fontId="7" fillId="46" borderId="26" xfId="0" applyNumberFormat="1" applyFont="1" applyFill="1" applyBorder="1" applyAlignment="1">
      <alignment horizontal="center" vertical="center" wrapText="1"/>
    </xf>
    <xf numFmtId="4" fontId="7" fillId="46" borderId="27" xfId="0" applyNumberFormat="1" applyFont="1" applyFill="1" applyBorder="1" applyAlignment="1">
      <alignment horizontal="center" vertical="center" wrapText="1"/>
    </xf>
    <xf numFmtId="4" fontId="7" fillId="46" borderId="28" xfId="0" applyNumberFormat="1" applyFont="1" applyFill="1" applyBorder="1" applyAlignment="1">
      <alignment horizontal="center" vertical="center" wrapText="1"/>
    </xf>
    <xf numFmtId="4" fontId="7" fillId="46" borderId="29" xfId="0" applyNumberFormat="1" applyFont="1" applyFill="1" applyBorder="1" applyAlignment="1">
      <alignment horizontal="center" vertical="center" wrapText="1"/>
    </xf>
    <xf numFmtId="4" fontId="7" fillId="46" borderId="30" xfId="0" applyNumberFormat="1" applyFont="1" applyFill="1" applyBorder="1" applyAlignment="1">
      <alignment horizontal="center" vertical="center" wrapText="1"/>
    </xf>
    <xf numFmtId="4" fontId="7" fillId="46" borderId="31" xfId="0" applyNumberFormat="1" applyFont="1" applyFill="1" applyBorder="1" applyAlignment="1">
      <alignment horizontal="center" vertical="center" wrapText="1"/>
    </xf>
    <xf numFmtId="0" fontId="6" fillId="46" borderId="0" xfId="0" applyFont="1" applyFill="1" applyAlignment="1">
      <alignment horizontal="center" vertical="center"/>
    </xf>
    <xf numFmtId="1" fontId="7" fillId="46" borderId="22" xfId="0" applyNumberFormat="1" applyFont="1" applyFill="1" applyBorder="1" applyAlignment="1">
      <alignment horizontal="center" vertical="center" wrapText="1"/>
    </xf>
    <xf numFmtId="1" fontId="7" fillId="46" borderId="25" xfId="0" applyNumberFormat="1" applyFont="1" applyFill="1" applyBorder="1" applyAlignment="1">
      <alignment horizontal="center" vertical="center" wrapText="1"/>
    </xf>
    <xf numFmtId="1" fontId="7" fillId="46" borderId="20" xfId="0" applyNumberFormat="1" applyFont="1" applyFill="1" applyBorder="1" applyAlignment="1">
      <alignment horizontal="center" vertical="center" wrapText="1"/>
    </xf>
    <xf numFmtId="0" fontId="7" fillId="46" borderId="22" xfId="0" applyNumberFormat="1" applyFont="1" applyFill="1" applyBorder="1" applyAlignment="1">
      <alignment horizontal="center" vertical="center" wrapText="1"/>
    </xf>
    <xf numFmtId="0" fontId="7" fillId="46" borderId="25" xfId="0" applyNumberFormat="1" applyFont="1" applyFill="1" applyBorder="1" applyAlignment="1">
      <alignment horizontal="center" vertical="center" wrapText="1"/>
    </xf>
    <xf numFmtId="0" fontId="7" fillId="46" borderId="20" xfId="0" applyNumberFormat="1" applyFont="1" applyFill="1" applyBorder="1" applyAlignment="1">
      <alignment horizontal="center" vertical="center" wrapText="1"/>
    </xf>
    <xf numFmtId="4" fontId="7" fillId="46" borderId="24" xfId="0" applyNumberFormat="1" applyFont="1" applyFill="1" applyBorder="1" applyAlignment="1">
      <alignment horizontal="center" vertical="center"/>
    </xf>
    <xf numFmtId="4" fontId="7" fillId="46" borderId="23" xfId="0" applyNumberFormat="1" applyFont="1" applyFill="1" applyBorder="1" applyAlignment="1">
      <alignment horizontal="center" vertical="center"/>
    </xf>
    <xf numFmtId="4" fontId="7" fillId="46" borderId="21" xfId="0" applyNumberFormat="1" applyFont="1" applyFill="1" applyBorder="1" applyAlignment="1">
      <alignment horizontal="center" vertical="center"/>
    </xf>
    <xf numFmtId="4" fontId="7" fillId="46" borderId="24" xfId="0" applyNumberFormat="1" applyFont="1" applyFill="1" applyBorder="1" applyAlignment="1">
      <alignment horizontal="center" vertical="center" wrapText="1"/>
    </xf>
    <xf numFmtId="4" fontId="7" fillId="46" borderId="23" xfId="0" applyNumberFormat="1" applyFont="1" applyFill="1" applyBorder="1" applyAlignment="1">
      <alignment horizontal="center" vertical="center" wrapText="1"/>
    </xf>
    <xf numFmtId="4" fontId="7" fillId="46" borderId="21" xfId="0" applyNumberFormat="1" applyFont="1" applyFill="1" applyBorder="1" applyAlignment="1">
      <alignment horizontal="center" vertical="center" wrapText="1"/>
    </xf>
    <xf numFmtId="4" fontId="6" fillId="46" borderId="19" xfId="0" applyNumberFormat="1" applyFont="1" applyFill="1" applyBorder="1" applyAlignment="1">
      <alignment horizontal="center" vertical="center"/>
    </xf>
    <xf numFmtId="4" fontId="6" fillId="46" borderId="24" xfId="0" applyNumberFormat="1" applyFont="1" applyFill="1" applyBorder="1" applyAlignment="1">
      <alignment horizontal="center" vertical="center"/>
    </xf>
    <xf numFmtId="4" fontId="6" fillId="46" borderId="23" xfId="0" applyNumberFormat="1" applyFont="1" applyFill="1" applyBorder="1" applyAlignment="1">
      <alignment horizontal="center" vertical="center"/>
    </xf>
    <xf numFmtId="4" fontId="6" fillId="46" borderId="21" xfId="0" applyNumberFormat="1" applyFont="1" applyFill="1" applyBorder="1" applyAlignment="1">
      <alignment horizontal="center" vertical="center"/>
    </xf>
    <xf numFmtId="4" fontId="7" fillId="46" borderId="19" xfId="0" applyNumberFormat="1" applyFont="1" applyFill="1" applyBorder="1" applyAlignment="1">
      <alignment vertical="center"/>
    </xf>
    <xf numFmtId="4" fontId="6" fillId="46" borderId="19" xfId="97" applyNumberFormat="1" applyFont="1" applyFill="1" applyBorder="1" applyAlignment="1">
      <alignment horizontal="left" vertical="center"/>
      <protection/>
    </xf>
    <xf numFmtId="4" fontId="7" fillId="46" borderId="20" xfId="0" applyNumberFormat="1" applyFont="1" applyFill="1" applyBorder="1" applyAlignment="1">
      <alignment horizontal="left" vertical="center"/>
    </xf>
    <xf numFmtId="4" fontId="6" fillId="46" borderId="19" xfId="97" applyNumberFormat="1" applyFont="1" applyFill="1" applyBorder="1" applyAlignment="1">
      <alignment horizontal="center" vertical="center"/>
      <protection/>
    </xf>
  </cellXfs>
  <cellStyles count="1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2 2" xfId="35"/>
    <cellStyle name="Excel Built-in Normal 2 2 2" xfId="36"/>
    <cellStyle name="Excel Built-in Normal 2 3" xfId="37"/>
    <cellStyle name="Excel Built-in Normal 3" xfId="38"/>
    <cellStyle name="Excel Built-in Normal 3 2" xfId="39"/>
    <cellStyle name="Excel Built-in Normal 4" xfId="40"/>
    <cellStyle name="TableStyleLight1" xfId="41"/>
    <cellStyle name="Акцент1" xfId="42"/>
    <cellStyle name="Акцент1 2" xfId="43"/>
    <cellStyle name="Акцент2" xfId="44"/>
    <cellStyle name="Акцент2 2" xfId="45"/>
    <cellStyle name="Акцент3" xfId="46"/>
    <cellStyle name="Акцент3 2" xfId="47"/>
    <cellStyle name="Акцент4" xfId="48"/>
    <cellStyle name="Акцент4 2" xfId="49"/>
    <cellStyle name="Акцент5" xfId="50"/>
    <cellStyle name="Акцент5 2" xfId="51"/>
    <cellStyle name="Акцент6" xfId="52"/>
    <cellStyle name="Акцент6 2" xfId="53"/>
    <cellStyle name="Ввод " xfId="54"/>
    <cellStyle name="Ввод  2" xfId="55"/>
    <cellStyle name="Вывод" xfId="56"/>
    <cellStyle name="Вывод 2" xfId="57"/>
    <cellStyle name="Вычисление" xfId="58"/>
    <cellStyle name="Вычисление 2" xfId="59"/>
    <cellStyle name="Hyperlink" xfId="60"/>
    <cellStyle name="Currency" xfId="61"/>
    <cellStyle name="Currency [0]" xfId="62"/>
    <cellStyle name="Заголовок 1" xfId="63"/>
    <cellStyle name="Заголовок 1 2" xfId="64"/>
    <cellStyle name="Заголовок 2" xfId="65"/>
    <cellStyle name="Заголовок 2 2" xfId="66"/>
    <cellStyle name="Заголовок 3" xfId="67"/>
    <cellStyle name="Заголовок 3 2" xfId="68"/>
    <cellStyle name="Заголовок 4" xfId="69"/>
    <cellStyle name="Заголовок 4 2" xfId="70"/>
    <cellStyle name="Итог" xfId="71"/>
    <cellStyle name="Итог 2" xfId="72"/>
    <cellStyle name="Контрольная ячейка" xfId="73"/>
    <cellStyle name="Контрольная ячейка 2" xfId="74"/>
    <cellStyle name="Название" xfId="75"/>
    <cellStyle name="Название 2" xfId="76"/>
    <cellStyle name="Нейтральный" xfId="77"/>
    <cellStyle name="Нейтральный 2" xfId="78"/>
    <cellStyle name="Обычный 10" xfId="79"/>
    <cellStyle name="Обычный 10 2" xfId="80"/>
    <cellStyle name="Обычный 10 3" xfId="81"/>
    <cellStyle name="Обычный 11" xfId="82"/>
    <cellStyle name="Обычный 12" xfId="83"/>
    <cellStyle name="Обычный 12 2" xfId="84"/>
    <cellStyle name="Обычный 13" xfId="85"/>
    <cellStyle name="Обычный 14" xfId="86"/>
    <cellStyle name="Обычный 14 2" xfId="87"/>
    <cellStyle name="Обычный 14 3" xfId="88"/>
    <cellStyle name="Обычный 15" xfId="89"/>
    <cellStyle name="Обычный 16" xfId="90"/>
    <cellStyle name="Обычный 2" xfId="91"/>
    <cellStyle name="Обычный 2 2" xfId="92"/>
    <cellStyle name="Обычный 2 2 2" xfId="93"/>
    <cellStyle name="Обычный 2 2 3" xfId="94"/>
    <cellStyle name="Обычный 2 3" xfId="95"/>
    <cellStyle name="Обычный 2 4" xfId="96"/>
    <cellStyle name="Обычный 3" xfId="97"/>
    <cellStyle name="Обычный 3 2" xfId="98"/>
    <cellStyle name="Обычный 3 2 2" xfId="99"/>
    <cellStyle name="Обычный 3 3" xfId="100"/>
    <cellStyle name="Обычный 3 4" xfId="101"/>
    <cellStyle name="Обычный 3 4 2" xfId="102"/>
    <cellStyle name="Обычный 3 5" xfId="103"/>
    <cellStyle name="Обычный 3 6" xfId="104"/>
    <cellStyle name="Обычный 3 7" xfId="105"/>
    <cellStyle name="Обычный 4" xfId="106"/>
    <cellStyle name="Обычный 4 2" xfId="107"/>
    <cellStyle name="Обычный 4 3" xfId="108"/>
    <cellStyle name="Обычный 4 4" xfId="109"/>
    <cellStyle name="Обычный 4 4 2" xfId="110"/>
    <cellStyle name="Обычный 4 5" xfId="111"/>
    <cellStyle name="Обычный 4 6" xfId="112"/>
    <cellStyle name="Обычный 4 7" xfId="113"/>
    <cellStyle name="Обычный 5" xfId="114"/>
    <cellStyle name="Обычный 5 2" xfId="115"/>
    <cellStyle name="Обычный 6" xfId="116"/>
    <cellStyle name="Обычный 6 2" xfId="117"/>
    <cellStyle name="Обычный 6 3" xfId="118"/>
    <cellStyle name="Обычный 6 4" xfId="119"/>
    <cellStyle name="Обычный 6 4 2" xfId="120"/>
    <cellStyle name="Обычный 6 5" xfId="121"/>
    <cellStyle name="Обычный 6 6" xfId="122"/>
    <cellStyle name="Обычный 6 7" xfId="123"/>
    <cellStyle name="Обычный 7" xfId="124"/>
    <cellStyle name="Обычный 7 2" xfId="125"/>
    <cellStyle name="Обычный 7 3" xfId="126"/>
    <cellStyle name="Обычный 7 4" xfId="127"/>
    <cellStyle name="Обычный 7 4 2" xfId="128"/>
    <cellStyle name="Обычный 7 5" xfId="129"/>
    <cellStyle name="Обычный 7 6" xfId="130"/>
    <cellStyle name="Обычный 7 7" xfId="131"/>
    <cellStyle name="Обычный 8" xfId="132"/>
    <cellStyle name="Обычный 8 2" xfId="133"/>
    <cellStyle name="Обычный 9" xfId="134"/>
    <cellStyle name="Обычный 9 2" xfId="135"/>
    <cellStyle name="Обычный 9 3" xfId="136"/>
    <cellStyle name="Followed Hyperlink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Percent" xfId="144"/>
    <cellStyle name="Связанная ячейка" xfId="145"/>
    <cellStyle name="Связанная ячейка 2" xfId="146"/>
    <cellStyle name="Текст предупреждения" xfId="147"/>
    <cellStyle name="Текст предупреждения 2" xfId="148"/>
    <cellStyle name="Титул" xfId="149"/>
    <cellStyle name="Comma" xfId="150"/>
    <cellStyle name="Comma [0]" xfId="151"/>
    <cellStyle name="Финансовый 2" xfId="152"/>
    <cellStyle name="Финансовый 2 2" xfId="153"/>
    <cellStyle name="Финансовый 3" xfId="154"/>
    <cellStyle name="Финансовый 3 2" xfId="155"/>
    <cellStyle name="Финансовый 4" xfId="156"/>
    <cellStyle name="Хороший" xfId="157"/>
    <cellStyle name="Хороший 2" xfId="15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116\pd$\Users\tya_makarova\Documents\&#1044;&#1086;&#1082;&#1091;&#1084;&#1077;&#1085;&#1090;&#1099;\&#1050;&#1072;&#1087;&#1080;&#1090;&#1072;&#1083;&#1100;&#1085;&#1099;&#1081;%20&#1088;&#1077;&#1084;&#1086;&#1085;&#1090;\&#1058;&#1056;&#1045;&#1061;&#1051;&#1045;&#1058;&#1050;&#1040;\2017-2019\2017\&#1055;&#1088;&#1080;&#1083;&#1086;&#1078;&#1077;&#1085;&#1080;&#1077;%201%20&#1088;&#1072;&#1079;&#1076;&#1077;&#1083;%203,%204%20&#1050;&#1055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4"/>
      <sheetName val="раздел3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3"/>
  <sheetViews>
    <sheetView zoomScale="64" zoomScaleNormal="64" zoomScalePageLayoutView="0" workbookViewId="0" topLeftCell="A196">
      <selection activeCell="M166" sqref="M166"/>
    </sheetView>
  </sheetViews>
  <sheetFormatPr defaultColWidth="0" defaultRowHeight="15" zeroHeight="1"/>
  <cols>
    <col min="1" max="1" width="7.28125" style="43" customWidth="1"/>
    <col min="2" max="2" width="50.00390625" style="34" customWidth="1"/>
    <col min="3" max="3" width="12.28125" style="64" customWidth="1"/>
    <col min="4" max="4" width="9.57421875" style="43" customWidth="1"/>
    <col min="5" max="5" width="15.421875" style="43" customWidth="1"/>
    <col min="6" max="6" width="8.8515625" style="43" customWidth="1"/>
    <col min="7" max="7" width="10.57421875" style="43" customWidth="1"/>
    <col min="8" max="8" width="12.7109375" style="43" customWidth="1"/>
    <col min="9" max="9" width="11.421875" style="43" customWidth="1"/>
    <col min="10" max="10" width="12.140625" style="43" customWidth="1"/>
    <col min="11" max="11" width="10.7109375" style="71" customWidth="1"/>
    <col min="12" max="12" width="16.28125" style="93" customWidth="1"/>
    <col min="13" max="13" width="13.8515625" style="93" customWidth="1"/>
    <col min="14" max="14" width="15.8515625" style="93" customWidth="1"/>
    <col min="15" max="15" width="17.421875" style="93" customWidth="1"/>
    <col min="16" max="16" width="15.00390625" style="93" customWidth="1"/>
    <col min="17" max="18" width="16.421875" style="43" customWidth="1"/>
    <col min="19" max="19" width="8.140625" style="33" hidden="1" customWidth="1"/>
    <col min="20" max="20" width="14.7109375" style="58" hidden="1" customWidth="1"/>
    <col min="21" max="21" width="21.421875" style="58" hidden="1" customWidth="1"/>
    <col min="22" max="22" width="18.57421875" style="33" hidden="1" customWidth="1"/>
    <col min="23" max="23" width="11.7109375" style="34" hidden="1" customWidth="1"/>
    <col min="24" max="24" width="12.00390625" style="34" hidden="1" customWidth="1"/>
    <col min="25" max="25" width="14.7109375" style="34" hidden="1" customWidth="1"/>
    <col min="26" max="16384" width="0" style="34" hidden="1" customWidth="1"/>
  </cols>
  <sheetData>
    <row r="1" spans="1:22" s="2" customFormat="1" ht="15">
      <c r="A1" s="1"/>
      <c r="B1" s="3"/>
      <c r="C1" s="43"/>
      <c r="D1" s="284" t="s">
        <v>346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43"/>
      <c r="R1" s="43"/>
      <c r="S1" s="237"/>
      <c r="T1" s="59"/>
      <c r="U1" s="59"/>
      <c r="V1" s="237"/>
    </row>
    <row r="2" spans="1:22" s="2" customFormat="1" ht="30" customHeight="1">
      <c r="A2" s="285" t="s">
        <v>2</v>
      </c>
      <c r="B2" s="285" t="s">
        <v>0</v>
      </c>
      <c r="C2" s="286" t="s">
        <v>3</v>
      </c>
      <c r="D2" s="286"/>
      <c r="E2" s="287" t="s">
        <v>4</v>
      </c>
      <c r="F2" s="287" t="s">
        <v>5</v>
      </c>
      <c r="G2" s="287" t="s">
        <v>6</v>
      </c>
      <c r="H2" s="280" t="s">
        <v>7</v>
      </c>
      <c r="I2" s="281" t="s">
        <v>8</v>
      </c>
      <c r="J2" s="281"/>
      <c r="K2" s="296" t="s">
        <v>9</v>
      </c>
      <c r="L2" s="288" t="s">
        <v>10</v>
      </c>
      <c r="M2" s="288"/>
      <c r="N2" s="288"/>
      <c r="O2" s="288"/>
      <c r="P2" s="288"/>
      <c r="Q2" s="280" t="s">
        <v>11</v>
      </c>
      <c r="R2" s="280" t="s">
        <v>12</v>
      </c>
      <c r="S2" s="46"/>
      <c r="T2" s="60"/>
      <c r="U2" s="60"/>
      <c r="V2" s="46"/>
    </row>
    <row r="3" spans="1:22" s="2" customFormat="1" ht="15" customHeight="1">
      <c r="A3" s="285"/>
      <c r="B3" s="285"/>
      <c r="C3" s="280" t="s">
        <v>13</v>
      </c>
      <c r="D3" s="280" t="s">
        <v>14</v>
      </c>
      <c r="E3" s="287"/>
      <c r="F3" s="287"/>
      <c r="G3" s="287"/>
      <c r="H3" s="280"/>
      <c r="I3" s="280" t="s">
        <v>15</v>
      </c>
      <c r="J3" s="280" t="s">
        <v>16</v>
      </c>
      <c r="K3" s="296"/>
      <c r="L3" s="289" t="s">
        <v>15</v>
      </c>
      <c r="M3" s="229"/>
      <c r="N3" s="229"/>
      <c r="O3" s="228"/>
      <c r="P3" s="228"/>
      <c r="Q3" s="280"/>
      <c r="R3" s="280"/>
      <c r="S3" s="46"/>
      <c r="T3" s="60"/>
      <c r="U3" s="60"/>
      <c r="V3" s="46"/>
    </row>
    <row r="4" spans="1:22" s="2" customFormat="1" ht="72.75" customHeight="1">
      <c r="A4" s="285"/>
      <c r="B4" s="285"/>
      <c r="C4" s="280"/>
      <c r="D4" s="280"/>
      <c r="E4" s="287"/>
      <c r="F4" s="287"/>
      <c r="G4" s="287"/>
      <c r="H4" s="280"/>
      <c r="I4" s="280"/>
      <c r="J4" s="280"/>
      <c r="K4" s="296"/>
      <c r="L4" s="289"/>
      <c r="M4" s="229" t="s">
        <v>17</v>
      </c>
      <c r="N4" s="229" t="s">
        <v>18</v>
      </c>
      <c r="O4" s="229" t="s">
        <v>19</v>
      </c>
      <c r="P4" s="229" t="s">
        <v>20</v>
      </c>
      <c r="Q4" s="280"/>
      <c r="R4" s="280"/>
      <c r="S4" s="46"/>
      <c r="T4" s="60"/>
      <c r="U4" s="60"/>
      <c r="V4" s="46"/>
    </row>
    <row r="5" spans="1:22" s="2" customFormat="1" ht="20.25" customHeight="1">
      <c r="A5" s="285"/>
      <c r="B5" s="285"/>
      <c r="C5" s="280"/>
      <c r="D5" s="280"/>
      <c r="E5" s="287"/>
      <c r="F5" s="287"/>
      <c r="G5" s="287"/>
      <c r="H5" s="225" t="s">
        <v>21</v>
      </c>
      <c r="I5" s="225" t="s">
        <v>21</v>
      </c>
      <c r="J5" s="225" t="s">
        <v>21</v>
      </c>
      <c r="K5" s="50" t="s">
        <v>22</v>
      </c>
      <c r="L5" s="228" t="s">
        <v>23</v>
      </c>
      <c r="M5" s="228"/>
      <c r="N5" s="228"/>
      <c r="O5" s="228" t="s">
        <v>23</v>
      </c>
      <c r="P5" s="228" t="s">
        <v>23</v>
      </c>
      <c r="Q5" s="280"/>
      <c r="R5" s="280"/>
      <c r="S5" s="46"/>
      <c r="T5" s="60"/>
      <c r="U5" s="60"/>
      <c r="V5" s="46"/>
    </row>
    <row r="6" spans="1:22" s="68" customFormat="1" ht="11.25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69">
        <v>11</v>
      </c>
      <c r="L6" s="69">
        <v>12</v>
      </c>
      <c r="M6" s="69">
        <v>13</v>
      </c>
      <c r="N6" s="69">
        <v>14</v>
      </c>
      <c r="O6" s="69">
        <v>15</v>
      </c>
      <c r="P6" s="69">
        <v>16</v>
      </c>
      <c r="Q6" s="69">
        <v>19</v>
      </c>
      <c r="R6" s="70">
        <v>20</v>
      </c>
      <c r="S6" s="66"/>
      <c r="T6" s="67"/>
      <c r="U6" s="67"/>
      <c r="V6" s="66"/>
    </row>
    <row r="7" spans="1:22" s="21" customFormat="1" ht="15">
      <c r="A7" s="275" t="s">
        <v>59</v>
      </c>
      <c r="B7" s="275"/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275"/>
      <c r="P7" s="275"/>
      <c r="Q7" s="275"/>
      <c r="R7" s="275"/>
      <c r="S7" s="45"/>
      <c r="T7" s="61"/>
      <c r="U7" s="61"/>
      <c r="V7" s="45"/>
    </row>
    <row r="8" spans="1:24" s="49" customFormat="1" ht="18" customHeight="1">
      <c r="A8" s="267" t="s">
        <v>61</v>
      </c>
      <c r="B8" s="267"/>
      <c r="C8" s="267"/>
      <c r="D8" s="267"/>
      <c r="E8" s="267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18"/>
      <c r="T8" s="62"/>
      <c r="U8" s="62"/>
      <c r="V8" s="94"/>
      <c r="W8" s="96"/>
      <c r="X8" s="97"/>
    </row>
    <row r="9" spans="1:26" s="101" customFormat="1" ht="18" customHeight="1">
      <c r="A9" s="231">
        <v>1</v>
      </c>
      <c r="B9" s="81" t="s">
        <v>123</v>
      </c>
      <c r="C9" s="226">
        <v>1971</v>
      </c>
      <c r="D9" s="226"/>
      <c r="E9" s="226" t="s">
        <v>24</v>
      </c>
      <c r="F9" s="226">
        <v>2</v>
      </c>
      <c r="G9" s="226">
        <v>3</v>
      </c>
      <c r="H9" s="102">
        <v>845.5</v>
      </c>
      <c r="I9" s="102">
        <v>489.8</v>
      </c>
      <c r="J9" s="102">
        <v>339.1</v>
      </c>
      <c r="K9" s="8">
        <v>32</v>
      </c>
      <c r="L9" s="224">
        <f>'раздел 4'!C12</f>
        <v>161189.99</v>
      </c>
      <c r="M9" s="224">
        <v>0</v>
      </c>
      <c r="N9" s="224">
        <v>96713.99</v>
      </c>
      <c r="O9" s="224">
        <v>32238</v>
      </c>
      <c r="P9" s="224">
        <f>L9-N9-O9</f>
        <v>32237.999999999985</v>
      </c>
      <c r="Q9" s="103" t="s">
        <v>387</v>
      </c>
      <c r="R9" s="104" t="s">
        <v>303</v>
      </c>
      <c r="S9" s="230"/>
      <c r="T9" s="55" t="b">
        <f>L9='раздел 4'!C12</f>
        <v>1</v>
      </c>
      <c r="U9" s="55">
        <f>'раздел 4'!C12-раздел3!N9-раздел3!O9-раздел3!P9</f>
        <v>0</v>
      </c>
      <c r="V9" s="55">
        <f>'раздел 4'!C12-раздел3!L9</f>
        <v>0</v>
      </c>
      <c r="W9" s="100" t="s">
        <v>177</v>
      </c>
      <c r="Z9" s="212">
        <f>O9-P9</f>
        <v>0</v>
      </c>
    </row>
    <row r="10" spans="1:26" s="101" customFormat="1" ht="18" customHeight="1">
      <c r="A10" s="231">
        <f>A9+1</f>
        <v>2</v>
      </c>
      <c r="B10" s="81" t="s">
        <v>175</v>
      </c>
      <c r="C10" s="226">
        <v>1970</v>
      </c>
      <c r="D10" s="226"/>
      <c r="E10" s="226" t="s">
        <v>24</v>
      </c>
      <c r="F10" s="226">
        <v>2</v>
      </c>
      <c r="G10" s="226">
        <v>2</v>
      </c>
      <c r="H10" s="102">
        <v>725.8</v>
      </c>
      <c r="I10" s="102">
        <v>470.7</v>
      </c>
      <c r="J10" s="102">
        <v>301.1</v>
      </c>
      <c r="K10" s="8">
        <v>50</v>
      </c>
      <c r="L10" s="224">
        <f>'раздел 4'!C13</f>
        <v>199288.48</v>
      </c>
      <c r="M10" s="224">
        <v>0</v>
      </c>
      <c r="N10" s="224">
        <v>119573.08</v>
      </c>
      <c r="O10" s="224">
        <v>39857.7</v>
      </c>
      <c r="P10" s="224">
        <f>L10-N10-O10</f>
        <v>39857.70000000001</v>
      </c>
      <c r="Q10" s="103" t="s">
        <v>387</v>
      </c>
      <c r="R10" s="104" t="s">
        <v>303</v>
      </c>
      <c r="S10" s="230"/>
      <c r="T10" s="55" t="b">
        <f>L10='раздел 4'!C13</f>
        <v>1</v>
      </c>
      <c r="U10" s="55">
        <f>'раздел 4'!C13-раздел3!N10-раздел3!O10-раздел3!P10</f>
        <v>0</v>
      </c>
      <c r="V10" s="55">
        <f>'раздел 4'!C13-раздел3!L10</f>
        <v>0</v>
      </c>
      <c r="W10" s="100"/>
      <c r="Z10" s="212">
        <f aca="true" t="shared" si="0" ref="Z10:Z73">O10-P10</f>
        <v>0</v>
      </c>
    </row>
    <row r="11" spans="1:26" s="101" customFormat="1" ht="18" customHeight="1">
      <c r="A11" s="253" t="s">
        <v>60</v>
      </c>
      <c r="B11" s="253"/>
      <c r="C11" s="102" t="s">
        <v>33</v>
      </c>
      <c r="D11" s="102" t="s">
        <v>33</v>
      </c>
      <c r="E11" s="102" t="s">
        <v>33</v>
      </c>
      <c r="F11" s="102" t="s">
        <v>33</v>
      </c>
      <c r="G11" s="102" t="s">
        <v>33</v>
      </c>
      <c r="H11" s="224">
        <f>SUM(H9:H10)</f>
        <v>1571.3</v>
      </c>
      <c r="I11" s="224">
        <f aca="true" t="shared" si="1" ref="I11:P11">SUM(I9:I10)</f>
        <v>960.5</v>
      </c>
      <c r="J11" s="224">
        <f t="shared" si="1"/>
        <v>640.2</v>
      </c>
      <c r="K11" s="7">
        <f t="shared" si="1"/>
        <v>82</v>
      </c>
      <c r="L11" s="224">
        <f>SUM(L9:L10)</f>
        <v>360478.47</v>
      </c>
      <c r="M11" s="224">
        <f t="shared" si="1"/>
        <v>0</v>
      </c>
      <c r="N11" s="224">
        <f>SUM(N9:N10)</f>
        <v>216287.07</v>
      </c>
      <c r="O11" s="224">
        <f>SUM(O9:O10)</f>
        <v>72095.7</v>
      </c>
      <c r="P11" s="224">
        <f t="shared" si="1"/>
        <v>72095.7</v>
      </c>
      <c r="Q11" s="224" t="s">
        <v>33</v>
      </c>
      <c r="R11" s="102" t="s">
        <v>33</v>
      </c>
      <c r="S11" s="105">
        <f>L11-N11-O11-P11</f>
        <v>0</v>
      </c>
      <c r="T11" s="55" t="b">
        <f>L11='раздел 4'!C14</f>
        <v>1</v>
      </c>
      <c r="U11" s="55">
        <f>'раздел 4'!C14-раздел3!N11-раздел3!O11-раздел3!P11</f>
        <v>0</v>
      </c>
      <c r="V11" s="55">
        <f>'раздел 4'!C14-раздел3!L11</f>
        <v>0</v>
      </c>
      <c r="W11" s="100"/>
      <c r="Z11" s="212">
        <f t="shared" si="0"/>
        <v>0</v>
      </c>
    </row>
    <row r="12" spans="1:26" s="101" customFormat="1" ht="18" customHeight="1">
      <c r="A12" s="293" t="s">
        <v>62</v>
      </c>
      <c r="B12" s="294"/>
      <c r="C12" s="294"/>
      <c r="D12" s="294"/>
      <c r="E12" s="295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14"/>
      <c r="T12" s="55" t="b">
        <f>L12='раздел 4'!C15</f>
        <v>1</v>
      </c>
      <c r="U12" s="55">
        <f>'раздел 4'!C15-раздел3!N12-раздел3!O12-раздел3!P12</f>
        <v>0</v>
      </c>
      <c r="V12" s="55">
        <f>'раздел 4'!C15-раздел3!L12</f>
        <v>0</v>
      </c>
      <c r="Z12" s="212">
        <f t="shared" si="0"/>
        <v>0</v>
      </c>
    </row>
    <row r="13" spans="1:26" s="101" customFormat="1" ht="18" customHeight="1">
      <c r="A13" s="231">
        <f>A10+1</f>
        <v>3</v>
      </c>
      <c r="B13" s="80" t="s">
        <v>176</v>
      </c>
      <c r="C13" s="106">
        <v>1993</v>
      </c>
      <c r="D13" s="106"/>
      <c r="E13" s="107" t="s">
        <v>26</v>
      </c>
      <c r="F13" s="108" t="s">
        <v>27</v>
      </c>
      <c r="G13" s="106">
        <v>5</v>
      </c>
      <c r="H13" s="142">
        <v>3487.06</v>
      </c>
      <c r="I13" s="142">
        <v>3039.86</v>
      </c>
      <c r="J13" s="142">
        <v>2555.16</v>
      </c>
      <c r="K13" s="163">
        <v>150</v>
      </c>
      <c r="L13" s="142">
        <f>'раздел 4'!C16</f>
        <v>1231533.03</v>
      </c>
      <c r="M13" s="224">
        <v>0</v>
      </c>
      <c r="N13" s="224">
        <v>738919.81</v>
      </c>
      <c r="O13" s="224">
        <v>246306.61</v>
      </c>
      <c r="P13" s="224">
        <f>L13-N13-O13</f>
        <v>246306.61</v>
      </c>
      <c r="Q13" s="103" t="s">
        <v>387</v>
      </c>
      <c r="R13" s="104" t="s">
        <v>303</v>
      </c>
      <c r="S13" s="230"/>
      <c r="T13" s="55" t="b">
        <f>L13='раздел 4'!C16</f>
        <v>1</v>
      </c>
      <c r="U13" s="55">
        <f>'раздел 4'!C16-раздел3!N13-раздел3!O13-раздел3!P13</f>
        <v>0</v>
      </c>
      <c r="V13" s="55">
        <f>'раздел 4'!C16-раздел3!L13</f>
        <v>0</v>
      </c>
      <c r="W13" s="100" t="s">
        <v>179</v>
      </c>
      <c r="Z13" s="212">
        <f t="shared" si="0"/>
        <v>0</v>
      </c>
    </row>
    <row r="14" spans="1:26" s="101" customFormat="1" ht="18" customHeight="1">
      <c r="A14" s="253" t="s">
        <v>60</v>
      </c>
      <c r="B14" s="253"/>
      <c r="C14" s="102" t="s">
        <v>33</v>
      </c>
      <c r="D14" s="102" t="s">
        <v>33</v>
      </c>
      <c r="E14" s="102" t="s">
        <v>33</v>
      </c>
      <c r="F14" s="102" t="s">
        <v>33</v>
      </c>
      <c r="G14" s="102" t="s">
        <v>33</v>
      </c>
      <c r="H14" s="224">
        <f aca="true" t="shared" si="2" ref="H14:M14">SUM(H13:H13)</f>
        <v>3487.06</v>
      </c>
      <c r="I14" s="224">
        <f t="shared" si="2"/>
        <v>3039.86</v>
      </c>
      <c r="J14" s="224">
        <f t="shared" si="2"/>
        <v>2555.16</v>
      </c>
      <c r="K14" s="7">
        <f t="shared" si="2"/>
        <v>150</v>
      </c>
      <c r="L14" s="224">
        <f t="shared" si="2"/>
        <v>1231533.03</v>
      </c>
      <c r="M14" s="224">
        <f t="shared" si="2"/>
        <v>0</v>
      </c>
      <c r="N14" s="224">
        <f>N13</f>
        <v>738919.81</v>
      </c>
      <c r="O14" s="224">
        <v>246306.61</v>
      </c>
      <c r="P14" s="224">
        <f>L14-N14-O14</f>
        <v>246306.61</v>
      </c>
      <c r="Q14" s="224" t="s">
        <v>33</v>
      </c>
      <c r="R14" s="102" t="s">
        <v>33</v>
      </c>
      <c r="S14" s="109"/>
      <c r="T14" s="55" t="b">
        <f>L14='раздел 4'!C17</f>
        <v>1</v>
      </c>
      <c r="U14" s="55">
        <f>'раздел 4'!C17-раздел3!N14-раздел3!O14-раздел3!P14</f>
        <v>0</v>
      </c>
      <c r="V14" s="55">
        <f>'раздел 4'!C17-раздел3!L14</f>
        <v>0</v>
      </c>
      <c r="Z14" s="212">
        <f t="shared" si="0"/>
        <v>0</v>
      </c>
    </row>
    <row r="15" spans="1:26" s="49" customFormat="1" ht="18" customHeight="1">
      <c r="A15" s="276" t="s">
        <v>63</v>
      </c>
      <c r="B15" s="277"/>
      <c r="C15" s="102" t="s">
        <v>33</v>
      </c>
      <c r="D15" s="234" t="s">
        <v>33</v>
      </c>
      <c r="E15" s="234" t="s">
        <v>33</v>
      </c>
      <c r="F15" s="234" t="s">
        <v>33</v>
      </c>
      <c r="G15" s="234" t="s">
        <v>33</v>
      </c>
      <c r="H15" s="243">
        <f aca="true" t="shared" si="3" ref="H15:M15">H11+H14</f>
        <v>5058.36</v>
      </c>
      <c r="I15" s="243">
        <f t="shared" si="3"/>
        <v>4000.36</v>
      </c>
      <c r="J15" s="243">
        <f t="shared" si="3"/>
        <v>3195.3599999999997</v>
      </c>
      <c r="K15" s="164">
        <f t="shared" si="3"/>
        <v>232</v>
      </c>
      <c r="L15" s="243">
        <f>L11+L14</f>
        <v>1592011.5</v>
      </c>
      <c r="M15" s="243">
        <f t="shared" si="3"/>
        <v>0</v>
      </c>
      <c r="N15" s="243">
        <f>N11+N14</f>
        <v>955206.8800000001</v>
      </c>
      <c r="O15" s="243">
        <f>O11+O14</f>
        <v>318402.31</v>
      </c>
      <c r="P15" s="243">
        <f>P11+P14</f>
        <v>318402.31</v>
      </c>
      <c r="Q15" s="224" t="s">
        <v>33</v>
      </c>
      <c r="R15" s="102" t="s">
        <v>33</v>
      </c>
      <c r="S15" s="105">
        <f>L15-N15-O15-P15</f>
        <v>0</v>
      </c>
      <c r="T15" s="55" t="b">
        <f>L15='раздел 4'!C18</f>
        <v>1</v>
      </c>
      <c r="U15" s="55">
        <f>'раздел 4'!C18-раздел3!N15-раздел3!O15-раздел3!P15</f>
        <v>0</v>
      </c>
      <c r="V15" s="55">
        <f>'раздел 4'!C18-раздел3!L15</f>
        <v>0</v>
      </c>
      <c r="Z15" s="212">
        <f t="shared" si="0"/>
        <v>0</v>
      </c>
    </row>
    <row r="16" spans="1:26" s="2" customFormat="1" ht="16.5" customHeight="1">
      <c r="A16" s="275" t="s">
        <v>338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76">
        <f>N16+O16+P16</f>
        <v>0</v>
      </c>
      <c r="T16" s="55" t="b">
        <f>L16='раздел 4'!C19</f>
        <v>1</v>
      </c>
      <c r="U16" s="55">
        <f>'раздел 4'!C19-раздел3!N16-раздел3!O16-раздел3!P16</f>
        <v>0</v>
      </c>
      <c r="V16" s="55">
        <f>'раздел 4'!C19-раздел3!L16</f>
        <v>0</v>
      </c>
      <c r="Z16" s="212">
        <f t="shared" si="0"/>
        <v>0</v>
      </c>
    </row>
    <row r="17" spans="1:26" s="2" customFormat="1" ht="16.5" customHeight="1">
      <c r="A17" s="276" t="s">
        <v>339</v>
      </c>
      <c r="B17" s="277"/>
      <c r="C17" s="277"/>
      <c r="D17" s="277"/>
      <c r="E17" s="278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76">
        <f>N17+O17+P17</f>
        <v>0</v>
      </c>
      <c r="T17" s="55" t="b">
        <f>L17='раздел 4'!C20</f>
        <v>1</v>
      </c>
      <c r="U17" s="55">
        <f>'раздел 4'!C20-раздел3!N17-раздел3!O17-раздел3!P17</f>
        <v>0</v>
      </c>
      <c r="V17" s="55">
        <f>'раздел 4'!C20-раздел3!L17</f>
        <v>0</v>
      </c>
      <c r="Z17" s="212">
        <f t="shared" si="0"/>
        <v>0</v>
      </c>
    </row>
    <row r="18" spans="1:26" s="2" customFormat="1" ht="16.5" customHeight="1">
      <c r="A18" s="72">
        <f>A13+1</f>
        <v>4</v>
      </c>
      <c r="B18" s="22" t="s">
        <v>340</v>
      </c>
      <c r="C18" s="231">
        <v>1977</v>
      </c>
      <c r="D18" s="231"/>
      <c r="E18" s="226" t="s">
        <v>32</v>
      </c>
      <c r="F18" s="7">
        <v>5</v>
      </c>
      <c r="G18" s="7">
        <v>6</v>
      </c>
      <c r="H18" s="224">
        <v>5416.8</v>
      </c>
      <c r="I18" s="224">
        <v>4833</v>
      </c>
      <c r="J18" s="224">
        <v>3574</v>
      </c>
      <c r="K18" s="7">
        <v>252</v>
      </c>
      <c r="L18" s="102">
        <f>'раздел 4'!C21</f>
        <v>1880962.48</v>
      </c>
      <c r="M18" s="224">
        <v>0</v>
      </c>
      <c r="N18" s="77">
        <v>654912.27</v>
      </c>
      <c r="O18" s="77">
        <v>327456.14</v>
      </c>
      <c r="P18" s="224">
        <f>L18-N18-O18</f>
        <v>898594.07</v>
      </c>
      <c r="Q18" s="103" t="s">
        <v>387</v>
      </c>
      <c r="R18" s="102" t="s">
        <v>303</v>
      </c>
      <c r="S18" s="105">
        <f>L18-N18-O18-P18</f>
        <v>0</v>
      </c>
      <c r="T18" s="55" t="b">
        <f>L18='раздел 4'!C21</f>
        <v>1</v>
      </c>
      <c r="U18" s="55">
        <f>'раздел 4'!C21-раздел3!N18-раздел3!O18-раздел3!P18</f>
        <v>0</v>
      </c>
      <c r="V18" s="55">
        <f>L18-'раздел 4'!C21</f>
        <v>0</v>
      </c>
      <c r="W18" s="2" t="s">
        <v>343</v>
      </c>
      <c r="X18" s="2" t="s">
        <v>344</v>
      </c>
      <c r="Z18" s="212">
        <f t="shared" si="0"/>
        <v>-571137.9299999999</v>
      </c>
    </row>
    <row r="19" spans="1:26" s="2" customFormat="1" ht="16.5" customHeight="1">
      <c r="A19" s="282" t="s">
        <v>60</v>
      </c>
      <c r="B19" s="283"/>
      <c r="C19" s="102" t="s">
        <v>33</v>
      </c>
      <c r="D19" s="102" t="s">
        <v>33</v>
      </c>
      <c r="E19" s="102" t="s">
        <v>33</v>
      </c>
      <c r="F19" s="102" t="s">
        <v>33</v>
      </c>
      <c r="G19" s="102" t="s">
        <v>33</v>
      </c>
      <c r="H19" s="224">
        <f aca="true" t="shared" si="4" ref="H19:P19">SUM(H18:H18)</f>
        <v>5416.8</v>
      </c>
      <c r="I19" s="224">
        <f t="shared" si="4"/>
        <v>4833</v>
      </c>
      <c r="J19" s="224">
        <f t="shared" si="4"/>
        <v>3574</v>
      </c>
      <c r="K19" s="7">
        <f t="shared" si="4"/>
        <v>252</v>
      </c>
      <c r="L19" s="224">
        <f t="shared" si="4"/>
        <v>1880962.48</v>
      </c>
      <c r="M19" s="224">
        <f t="shared" si="4"/>
        <v>0</v>
      </c>
      <c r="N19" s="224">
        <f t="shared" si="4"/>
        <v>654912.27</v>
      </c>
      <c r="O19" s="224">
        <f t="shared" si="4"/>
        <v>327456.14</v>
      </c>
      <c r="P19" s="224">
        <f t="shared" si="4"/>
        <v>898594.07</v>
      </c>
      <c r="Q19" s="224" t="s">
        <v>33</v>
      </c>
      <c r="R19" s="102" t="s">
        <v>33</v>
      </c>
      <c r="S19" s="105">
        <f>L19-N19-O19-P19</f>
        <v>0</v>
      </c>
      <c r="T19" s="55" t="b">
        <f>L19='раздел 4'!C22</f>
        <v>1</v>
      </c>
      <c r="U19" s="55">
        <f>'раздел 4'!C22-раздел3!N19-раздел3!O19-раздел3!P19</f>
        <v>0</v>
      </c>
      <c r="V19" s="55">
        <f>'раздел 4'!C23-раздел3!L19</f>
        <v>0</v>
      </c>
      <c r="W19" s="76">
        <f>N18+N29</f>
        <v>6831083.5530342795</v>
      </c>
      <c r="X19" s="76">
        <f>O18+O29</f>
        <v>1863313.2200000002</v>
      </c>
      <c r="Y19" s="76">
        <f>P18+P29</f>
        <v>20841397.42696572</v>
      </c>
      <c r="Z19" s="212">
        <f t="shared" si="0"/>
        <v>-571137.9299999999</v>
      </c>
    </row>
    <row r="20" spans="1:26" s="49" customFormat="1" ht="18" customHeight="1">
      <c r="A20" s="276" t="s">
        <v>341</v>
      </c>
      <c r="B20" s="278"/>
      <c r="C20" s="102" t="s">
        <v>33</v>
      </c>
      <c r="D20" s="234" t="s">
        <v>33</v>
      </c>
      <c r="E20" s="234" t="s">
        <v>33</v>
      </c>
      <c r="F20" s="234" t="s">
        <v>33</v>
      </c>
      <c r="G20" s="234" t="s">
        <v>33</v>
      </c>
      <c r="H20" s="243">
        <f>H18</f>
        <v>5416.8</v>
      </c>
      <c r="I20" s="243">
        <f aca="true" t="shared" si="5" ref="I20:P20">I18</f>
        <v>4833</v>
      </c>
      <c r="J20" s="243">
        <f t="shared" si="5"/>
        <v>3574</v>
      </c>
      <c r="K20" s="164">
        <f t="shared" si="5"/>
        <v>252</v>
      </c>
      <c r="L20" s="243">
        <f t="shared" si="5"/>
        <v>1880962.48</v>
      </c>
      <c r="M20" s="243">
        <f t="shared" si="5"/>
        <v>0</v>
      </c>
      <c r="N20" s="243">
        <f t="shared" si="5"/>
        <v>654912.27</v>
      </c>
      <c r="O20" s="243">
        <f t="shared" si="5"/>
        <v>327456.14</v>
      </c>
      <c r="P20" s="243">
        <f t="shared" si="5"/>
        <v>898594.07</v>
      </c>
      <c r="Q20" s="224" t="s">
        <v>33</v>
      </c>
      <c r="R20" s="102" t="s">
        <v>33</v>
      </c>
      <c r="S20" s="105">
        <f>L20-N20-O20-P20</f>
        <v>0</v>
      </c>
      <c r="T20" s="55" t="b">
        <f>L20='раздел 4'!C23</f>
        <v>1</v>
      </c>
      <c r="U20" s="55">
        <f>'раздел 4'!C23-раздел3!N20-раздел3!O20-раздел3!P20</f>
        <v>0</v>
      </c>
      <c r="V20" s="55">
        <f>L20-'раздел 4'!C23</f>
        <v>0</v>
      </c>
      <c r="Z20" s="212">
        <f t="shared" si="0"/>
        <v>-571137.9299999999</v>
      </c>
    </row>
    <row r="21" spans="1:26" s="101" customFormat="1" ht="18" customHeight="1">
      <c r="A21" s="268" t="s">
        <v>64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70"/>
      <c r="S21" s="219"/>
      <c r="T21" s="55" t="b">
        <f>L21='раздел 4'!C24</f>
        <v>1</v>
      </c>
      <c r="U21" s="55">
        <f>'раздел 4'!C24-раздел3!N21-раздел3!O21-раздел3!P21</f>
        <v>0</v>
      </c>
      <c r="V21" s="55">
        <f>L21-'раздел 4'!C24</f>
        <v>0</v>
      </c>
      <c r="Z21" s="212">
        <f t="shared" si="0"/>
        <v>0</v>
      </c>
    </row>
    <row r="22" spans="1:26" s="101" customFormat="1" ht="15">
      <c r="A22" s="290" t="s">
        <v>182</v>
      </c>
      <c r="B22" s="291"/>
      <c r="C22" s="291"/>
      <c r="D22" s="291"/>
      <c r="E22" s="292"/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/>
      <c r="R22" s="260"/>
      <c r="S22" s="214"/>
      <c r="T22" s="55" t="b">
        <f>L22='раздел 4'!C25</f>
        <v>1</v>
      </c>
      <c r="U22" s="55">
        <f>'раздел 4'!C25-раздел3!N22-раздел3!O22-раздел3!P22</f>
        <v>0</v>
      </c>
      <c r="V22" s="55">
        <f>L22-'раздел 4'!C25</f>
        <v>0</v>
      </c>
      <c r="Z22" s="212">
        <f t="shared" si="0"/>
        <v>0</v>
      </c>
    </row>
    <row r="23" spans="1:26" s="101" customFormat="1" ht="15">
      <c r="A23" s="7">
        <f>A18+1</f>
        <v>5</v>
      </c>
      <c r="B23" s="81" t="s">
        <v>180</v>
      </c>
      <c r="C23" s="226">
        <v>1972</v>
      </c>
      <c r="D23" s="231"/>
      <c r="E23" s="226" t="s">
        <v>32</v>
      </c>
      <c r="F23" s="231">
        <v>2</v>
      </c>
      <c r="G23" s="231">
        <v>3</v>
      </c>
      <c r="H23" s="224">
        <v>846.4</v>
      </c>
      <c r="I23" s="224">
        <v>764.3</v>
      </c>
      <c r="J23" s="224">
        <v>764.3</v>
      </c>
      <c r="K23" s="7">
        <v>33</v>
      </c>
      <c r="L23" s="224">
        <v>170241.39</v>
      </c>
      <c r="M23" s="224">
        <v>0</v>
      </c>
      <c r="N23" s="224">
        <v>102144.84552000009</v>
      </c>
      <c r="O23" s="224">
        <v>34048.27223999996</v>
      </c>
      <c r="P23" s="224">
        <v>34048.27223999996</v>
      </c>
      <c r="Q23" s="103" t="s">
        <v>387</v>
      </c>
      <c r="R23" s="110" t="s">
        <v>303</v>
      </c>
      <c r="S23" s="230"/>
      <c r="T23" s="55" t="b">
        <f>L23='раздел 4'!C26</f>
        <v>1</v>
      </c>
      <c r="U23" s="55">
        <f>'раздел 4'!C26-раздел3!N23-раздел3!O23-раздел3!P23</f>
        <v>0</v>
      </c>
      <c r="V23" s="55">
        <f>L23-'раздел 4'!C26</f>
        <v>0</v>
      </c>
      <c r="W23" s="100" t="s">
        <v>183</v>
      </c>
      <c r="Z23" s="212">
        <f t="shared" si="0"/>
        <v>0</v>
      </c>
    </row>
    <row r="24" spans="1:26" s="101" customFormat="1" ht="15">
      <c r="A24" s="7">
        <f>A23+1</f>
        <v>6</v>
      </c>
      <c r="B24" s="81" t="s">
        <v>181</v>
      </c>
      <c r="C24" s="226">
        <v>1972</v>
      </c>
      <c r="D24" s="231"/>
      <c r="E24" s="226" t="s">
        <v>32</v>
      </c>
      <c r="F24" s="231">
        <v>2</v>
      </c>
      <c r="G24" s="231">
        <v>3</v>
      </c>
      <c r="H24" s="224">
        <v>847.1</v>
      </c>
      <c r="I24" s="224">
        <v>764.7</v>
      </c>
      <c r="J24" s="224">
        <v>622.68</v>
      </c>
      <c r="K24" s="7">
        <v>40</v>
      </c>
      <c r="L24" s="224">
        <v>168987.62</v>
      </c>
      <c r="M24" s="224">
        <v>0</v>
      </c>
      <c r="N24" s="224">
        <v>101392.57968000005</v>
      </c>
      <c r="O24" s="224">
        <v>33797.520159999985</v>
      </c>
      <c r="P24" s="224">
        <v>33797.52015999997</v>
      </c>
      <c r="Q24" s="103" t="s">
        <v>387</v>
      </c>
      <c r="R24" s="110" t="s">
        <v>303</v>
      </c>
      <c r="S24" s="109"/>
      <c r="T24" s="55" t="b">
        <f>L24='раздел 4'!C27</f>
        <v>1</v>
      </c>
      <c r="U24" s="55">
        <f>'раздел 4'!C27-раздел3!N24-раздел3!O24-раздел3!P24</f>
        <v>0</v>
      </c>
      <c r="V24" s="55">
        <f>L24-'раздел 4'!C27</f>
        <v>0</v>
      </c>
      <c r="Z24" s="212">
        <f t="shared" si="0"/>
        <v>0</v>
      </c>
    </row>
    <row r="25" spans="1:26" s="101" customFormat="1" ht="15">
      <c r="A25" s="253" t="s">
        <v>60</v>
      </c>
      <c r="B25" s="253"/>
      <c r="C25" s="102" t="s">
        <v>33</v>
      </c>
      <c r="D25" s="102" t="s">
        <v>33</v>
      </c>
      <c r="E25" s="102" t="s">
        <v>33</v>
      </c>
      <c r="F25" s="102" t="s">
        <v>33</v>
      </c>
      <c r="G25" s="102" t="s">
        <v>33</v>
      </c>
      <c r="H25" s="224">
        <f aca="true" t="shared" si="6" ref="H25:P25">SUM(H23:H24)</f>
        <v>1693.5</v>
      </c>
      <c r="I25" s="224">
        <f t="shared" si="6"/>
        <v>1529</v>
      </c>
      <c r="J25" s="224">
        <f t="shared" si="6"/>
        <v>1386.98</v>
      </c>
      <c r="K25" s="7">
        <f t="shared" si="6"/>
        <v>73</v>
      </c>
      <c r="L25" s="224">
        <f t="shared" si="6"/>
        <v>339229.01</v>
      </c>
      <c r="M25" s="224">
        <f t="shared" si="6"/>
        <v>0</v>
      </c>
      <c r="N25" s="224">
        <f t="shared" si="6"/>
        <v>203537.42520000014</v>
      </c>
      <c r="O25" s="224">
        <f t="shared" si="6"/>
        <v>67845.79239999995</v>
      </c>
      <c r="P25" s="224">
        <f t="shared" si="6"/>
        <v>67845.79239999993</v>
      </c>
      <c r="Q25" s="224" t="s">
        <v>33</v>
      </c>
      <c r="R25" s="102" t="s">
        <v>33</v>
      </c>
      <c r="S25" s="230"/>
      <c r="T25" s="55" t="b">
        <f>L25='раздел 4'!C28</f>
        <v>1</v>
      </c>
      <c r="U25" s="55">
        <f>'раздел 4'!C28-раздел3!N25-раздел3!O25-раздел3!P25</f>
        <v>0</v>
      </c>
      <c r="V25" s="55">
        <f>L25-'раздел 4'!C28</f>
        <v>0</v>
      </c>
      <c r="Z25" s="212">
        <f t="shared" si="0"/>
        <v>0</v>
      </c>
    </row>
    <row r="26" spans="1:26" s="101" customFormat="1" ht="15" customHeight="1">
      <c r="A26" s="276" t="s">
        <v>65</v>
      </c>
      <c r="B26" s="278"/>
      <c r="C26" s="102" t="s">
        <v>33</v>
      </c>
      <c r="D26" s="234" t="s">
        <v>33</v>
      </c>
      <c r="E26" s="234" t="s">
        <v>33</v>
      </c>
      <c r="F26" s="234" t="s">
        <v>33</v>
      </c>
      <c r="G26" s="234" t="s">
        <v>33</v>
      </c>
      <c r="H26" s="243">
        <f aca="true" t="shared" si="7" ref="H26:P26">H25</f>
        <v>1693.5</v>
      </c>
      <c r="I26" s="243">
        <f t="shared" si="7"/>
        <v>1529</v>
      </c>
      <c r="J26" s="243">
        <f t="shared" si="7"/>
        <v>1386.98</v>
      </c>
      <c r="K26" s="164">
        <f t="shared" si="7"/>
        <v>73</v>
      </c>
      <c r="L26" s="243">
        <f t="shared" si="7"/>
        <v>339229.01</v>
      </c>
      <c r="M26" s="243">
        <f t="shared" si="7"/>
        <v>0</v>
      </c>
      <c r="N26" s="243">
        <f t="shared" si="7"/>
        <v>203537.42520000014</v>
      </c>
      <c r="O26" s="243">
        <f t="shared" si="7"/>
        <v>67845.79239999995</v>
      </c>
      <c r="P26" s="243">
        <f t="shared" si="7"/>
        <v>67845.79239999993</v>
      </c>
      <c r="Q26" s="224" t="s">
        <v>33</v>
      </c>
      <c r="R26" s="102" t="s">
        <v>33</v>
      </c>
      <c r="S26" s="105">
        <f>L26-N26-O26-P26</f>
        <v>0</v>
      </c>
      <c r="T26" s="55" t="b">
        <f>L26='раздел 4'!C29</f>
        <v>1</v>
      </c>
      <c r="U26" s="55">
        <f>'раздел 4'!C29-раздел3!N26-раздел3!O26-раздел3!P26</f>
        <v>0</v>
      </c>
      <c r="V26" s="55">
        <f>L26-'раздел 4'!C29</f>
        <v>0</v>
      </c>
      <c r="Z26" s="212">
        <f t="shared" si="0"/>
        <v>0</v>
      </c>
    </row>
    <row r="27" spans="1:26" s="227" customFormat="1" ht="15">
      <c r="A27" s="268" t="s">
        <v>342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70"/>
      <c r="S27" s="219"/>
      <c r="T27" s="55" t="b">
        <f>L27='раздел 4'!C30</f>
        <v>1</v>
      </c>
      <c r="U27" s="55">
        <f>'раздел 4'!C30-раздел3!N27-раздел3!O27-раздел3!P27</f>
        <v>0</v>
      </c>
      <c r="V27" s="55">
        <f>L27-'раздел 4'!C30</f>
        <v>0</v>
      </c>
      <c r="Z27" s="212">
        <f t="shared" si="0"/>
        <v>0</v>
      </c>
    </row>
    <row r="28" spans="1:26" s="227" customFormat="1" ht="15">
      <c r="A28" s="254" t="s">
        <v>336</v>
      </c>
      <c r="B28" s="255"/>
      <c r="C28" s="256"/>
      <c r="D28" s="218"/>
      <c r="E28" s="218"/>
      <c r="F28" s="218"/>
      <c r="G28" s="218"/>
      <c r="H28" s="218"/>
      <c r="I28" s="218"/>
      <c r="J28" s="218"/>
      <c r="K28" s="218"/>
      <c r="L28" s="88"/>
      <c r="M28" s="88"/>
      <c r="N28" s="88"/>
      <c r="O28" s="88"/>
      <c r="P28" s="88"/>
      <c r="Q28" s="218"/>
      <c r="R28" s="219"/>
      <c r="S28" s="219"/>
      <c r="T28" s="55" t="b">
        <f>L28='раздел 4'!C31</f>
        <v>1</v>
      </c>
      <c r="U28" s="55">
        <f>'раздел 4'!C31-раздел3!N28-раздел3!O28-раздел3!P28</f>
        <v>0</v>
      </c>
      <c r="V28" s="55">
        <f>L28-'раздел 4'!C31</f>
        <v>0</v>
      </c>
      <c r="Z28" s="212">
        <f t="shared" si="0"/>
        <v>0</v>
      </c>
    </row>
    <row r="29" spans="1:26" s="2" customFormat="1" ht="16.5" customHeight="1">
      <c r="A29" s="7">
        <f>A24+1</f>
        <v>7</v>
      </c>
      <c r="B29" s="22" t="s">
        <v>337</v>
      </c>
      <c r="C29" s="78">
        <v>1993</v>
      </c>
      <c r="D29" s="78"/>
      <c r="E29" s="226" t="s">
        <v>32</v>
      </c>
      <c r="F29" s="79">
        <v>9</v>
      </c>
      <c r="G29" s="79">
        <v>3</v>
      </c>
      <c r="H29" s="77">
        <v>7161.3</v>
      </c>
      <c r="I29" s="77">
        <v>7161.3</v>
      </c>
      <c r="J29" s="77">
        <v>6186.7</v>
      </c>
      <c r="K29" s="79">
        <v>274</v>
      </c>
      <c r="L29" s="102">
        <v>27654831.72</v>
      </c>
      <c r="M29" s="102">
        <v>0</v>
      </c>
      <c r="N29" s="77">
        <v>6176171.28303428</v>
      </c>
      <c r="O29" s="224">
        <v>1535857.08</v>
      </c>
      <c r="P29" s="224">
        <f>L29-N29-O29</f>
        <v>19942803.35696572</v>
      </c>
      <c r="Q29" s="103" t="s">
        <v>387</v>
      </c>
      <c r="R29" s="102" t="s">
        <v>303</v>
      </c>
      <c r="S29" s="105">
        <f>L29-N29-O29-P29</f>
        <v>0</v>
      </c>
      <c r="T29" s="55" t="b">
        <f>L29='раздел 4'!C32</f>
        <v>1</v>
      </c>
      <c r="U29" s="55">
        <f>'раздел 4'!C32-раздел3!N29-раздел3!O29-раздел3!P29</f>
        <v>0</v>
      </c>
      <c r="V29" s="55">
        <f>L29-'раздел 4'!C32</f>
        <v>0</v>
      </c>
      <c r="Z29" s="212">
        <f t="shared" si="0"/>
        <v>-18406946.276965722</v>
      </c>
    </row>
    <row r="30" spans="1:26" s="101" customFormat="1" ht="15">
      <c r="A30" s="253" t="s">
        <v>60</v>
      </c>
      <c r="B30" s="253"/>
      <c r="C30" s="102" t="s">
        <v>33</v>
      </c>
      <c r="D30" s="102" t="s">
        <v>33</v>
      </c>
      <c r="E30" s="102" t="s">
        <v>33</v>
      </c>
      <c r="F30" s="102" t="s">
        <v>33</v>
      </c>
      <c r="G30" s="102" t="s">
        <v>33</v>
      </c>
      <c r="H30" s="224">
        <f>SUM(H29)</f>
        <v>7161.3</v>
      </c>
      <c r="I30" s="224">
        <f aca="true" t="shared" si="8" ref="I30:P30">SUM(I29)</f>
        <v>7161.3</v>
      </c>
      <c r="J30" s="224">
        <f t="shared" si="8"/>
        <v>6186.7</v>
      </c>
      <c r="K30" s="7">
        <f t="shared" si="8"/>
        <v>274</v>
      </c>
      <c r="L30" s="224">
        <f>L29</f>
        <v>27654831.72</v>
      </c>
      <c r="M30" s="224">
        <f t="shared" si="8"/>
        <v>0</v>
      </c>
      <c r="N30" s="224">
        <f t="shared" si="8"/>
        <v>6176171.28303428</v>
      </c>
      <c r="O30" s="224">
        <f t="shared" si="8"/>
        <v>1535857.08</v>
      </c>
      <c r="P30" s="224">
        <f t="shared" si="8"/>
        <v>19942803.35696572</v>
      </c>
      <c r="Q30" s="224" t="s">
        <v>33</v>
      </c>
      <c r="R30" s="102" t="s">
        <v>33</v>
      </c>
      <c r="S30" s="230"/>
      <c r="T30" s="55" t="b">
        <f>L30='раздел 4'!C33</f>
        <v>1</v>
      </c>
      <c r="U30" s="55">
        <f>'раздел 4'!C33-раздел3!N30-раздел3!O30-раздел3!P30</f>
        <v>0</v>
      </c>
      <c r="V30" s="55">
        <f>L30-'раздел 4'!C33</f>
        <v>0</v>
      </c>
      <c r="Z30" s="212">
        <f t="shared" si="0"/>
        <v>-18406946.276965722</v>
      </c>
    </row>
    <row r="31" spans="1:26" s="101" customFormat="1" ht="15" customHeight="1">
      <c r="A31" s="259" t="s">
        <v>186</v>
      </c>
      <c r="B31" s="259"/>
      <c r="C31" s="259"/>
      <c r="D31" s="231"/>
      <c r="E31" s="231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14"/>
      <c r="T31" s="55" t="b">
        <f>L31='раздел 4'!C34</f>
        <v>1</v>
      </c>
      <c r="U31" s="55">
        <f>'раздел 4'!C34-раздел3!N31-раздел3!O31-раздел3!P31</f>
        <v>0</v>
      </c>
      <c r="V31" s="55">
        <f>L31-'раздел 4'!C34</f>
        <v>0</v>
      </c>
      <c r="Z31" s="212">
        <f t="shared" si="0"/>
        <v>0</v>
      </c>
    </row>
    <row r="32" spans="1:26" s="101" customFormat="1" ht="15">
      <c r="A32" s="7">
        <f>A29+1</f>
        <v>8</v>
      </c>
      <c r="B32" s="80" t="s">
        <v>184</v>
      </c>
      <c r="C32" s="231">
        <v>1990</v>
      </c>
      <c r="D32" s="231"/>
      <c r="E32" s="231" t="s">
        <v>26</v>
      </c>
      <c r="F32" s="231">
        <v>13</v>
      </c>
      <c r="G32" s="231">
        <v>1</v>
      </c>
      <c r="H32" s="224">
        <v>2095</v>
      </c>
      <c r="I32" s="224">
        <v>1717.1</v>
      </c>
      <c r="J32" s="224">
        <v>1363.18</v>
      </c>
      <c r="K32" s="7">
        <v>133</v>
      </c>
      <c r="L32" s="224">
        <v>454392.85</v>
      </c>
      <c r="M32" s="224">
        <v>0</v>
      </c>
      <c r="N32" s="224">
        <v>272635.71358</v>
      </c>
      <c r="O32" s="224">
        <v>90878.56821000001</v>
      </c>
      <c r="P32" s="224">
        <v>90878.56821000003</v>
      </c>
      <c r="Q32" s="103" t="s">
        <v>387</v>
      </c>
      <c r="R32" s="104" t="s">
        <v>303</v>
      </c>
      <c r="S32" s="109"/>
      <c r="T32" s="55" t="b">
        <f>L32='раздел 4'!C35</f>
        <v>1</v>
      </c>
      <c r="U32" s="55">
        <f>'раздел 4'!C35-раздел3!N32-раздел3!O32-раздел3!P32</f>
        <v>0</v>
      </c>
      <c r="V32" s="55">
        <f>L32-'раздел 4'!C35</f>
        <v>0</v>
      </c>
      <c r="W32" s="101" t="s">
        <v>187</v>
      </c>
      <c r="Z32" s="212">
        <f t="shared" si="0"/>
        <v>0</v>
      </c>
    </row>
    <row r="33" spans="1:26" s="101" customFormat="1" ht="15">
      <c r="A33" s="231">
        <f>A32+1</f>
        <v>9</v>
      </c>
      <c r="B33" s="80" t="s">
        <v>185</v>
      </c>
      <c r="C33" s="231">
        <v>1982</v>
      </c>
      <c r="D33" s="231"/>
      <c r="E33" s="231" t="s">
        <v>26</v>
      </c>
      <c r="F33" s="231">
        <v>7</v>
      </c>
      <c r="G33" s="231">
        <v>4</v>
      </c>
      <c r="H33" s="224">
        <v>7905</v>
      </c>
      <c r="I33" s="224">
        <v>4619.5</v>
      </c>
      <c r="J33" s="224">
        <v>4300.1</v>
      </c>
      <c r="K33" s="7">
        <v>342</v>
      </c>
      <c r="L33" s="224">
        <v>840983.5</v>
      </c>
      <c r="M33" s="224">
        <v>0</v>
      </c>
      <c r="N33" s="224">
        <v>504590.10715999996</v>
      </c>
      <c r="O33" s="224">
        <v>168196.69642</v>
      </c>
      <c r="P33" s="224">
        <v>168196.69642000005</v>
      </c>
      <c r="Q33" s="103" t="s">
        <v>387</v>
      </c>
      <c r="R33" s="104" t="s">
        <v>303</v>
      </c>
      <c r="S33" s="109"/>
      <c r="T33" s="55" t="b">
        <f>L33='раздел 4'!C36</f>
        <v>1</v>
      </c>
      <c r="U33" s="55">
        <f>'раздел 4'!C36-раздел3!N33-раздел3!O33-раздел3!P33</f>
        <v>0</v>
      </c>
      <c r="V33" s="55">
        <f>L33-'раздел 4'!C36</f>
        <v>0</v>
      </c>
      <c r="Z33" s="212">
        <f t="shared" si="0"/>
        <v>0</v>
      </c>
    </row>
    <row r="34" spans="1:26" s="101" customFormat="1" ht="15">
      <c r="A34" s="253" t="s">
        <v>60</v>
      </c>
      <c r="B34" s="253"/>
      <c r="C34" s="102" t="s">
        <v>33</v>
      </c>
      <c r="D34" s="102" t="s">
        <v>33</v>
      </c>
      <c r="E34" s="102" t="s">
        <v>33</v>
      </c>
      <c r="F34" s="102" t="s">
        <v>33</v>
      </c>
      <c r="G34" s="102" t="s">
        <v>33</v>
      </c>
      <c r="H34" s="224">
        <f aca="true" t="shared" si="9" ref="H34:P34">SUM(H32:H33)</f>
        <v>10000</v>
      </c>
      <c r="I34" s="224">
        <f t="shared" si="9"/>
        <v>6336.6</v>
      </c>
      <c r="J34" s="224">
        <f t="shared" si="9"/>
        <v>5663.280000000001</v>
      </c>
      <c r="K34" s="7">
        <f t="shared" si="9"/>
        <v>475</v>
      </c>
      <c r="L34" s="224">
        <f>SUM(L32:L33)</f>
        <v>1295376.35</v>
      </c>
      <c r="M34" s="224">
        <f t="shared" si="9"/>
        <v>0</v>
      </c>
      <c r="N34" s="224">
        <f t="shared" si="9"/>
        <v>777225.8207399999</v>
      </c>
      <c r="O34" s="224">
        <f t="shared" si="9"/>
        <v>259075.26463</v>
      </c>
      <c r="P34" s="224">
        <f t="shared" si="9"/>
        <v>259075.26463000008</v>
      </c>
      <c r="Q34" s="224" t="s">
        <v>33</v>
      </c>
      <c r="R34" s="102" t="s">
        <v>33</v>
      </c>
      <c r="S34" s="105">
        <f>L34-N34-O34-P34</f>
        <v>0</v>
      </c>
      <c r="T34" s="55" t="b">
        <f>L34='раздел 4'!C37</f>
        <v>1</v>
      </c>
      <c r="U34" s="55">
        <f>'раздел 4'!C37-раздел3!N34-раздел3!O34-раздел3!P34</f>
        <v>0</v>
      </c>
      <c r="V34" s="55">
        <f>L34-'раздел 4'!C37</f>
        <v>0</v>
      </c>
      <c r="Z34" s="212">
        <f t="shared" si="0"/>
        <v>0</v>
      </c>
    </row>
    <row r="35" spans="1:26" s="101" customFormat="1" ht="15" customHeight="1">
      <c r="A35" s="276" t="s">
        <v>66</v>
      </c>
      <c r="B35" s="277"/>
      <c r="C35" s="102" t="s">
        <v>33</v>
      </c>
      <c r="D35" s="234" t="s">
        <v>33</v>
      </c>
      <c r="E35" s="234" t="s">
        <v>33</v>
      </c>
      <c r="F35" s="234" t="s">
        <v>33</v>
      </c>
      <c r="G35" s="234" t="s">
        <v>33</v>
      </c>
      <c r="H35" s="243">
        <f aca="true" t="shared" si="10" ref="H35:P35">H34+H30</f>
        <v>17161.3</v>
      </c>
      <c r="I35" s="243">
        <f t="shared" si="10"/>
        <v>13497.900000000001</v>
      </c>
      <c r="J35" s="243">
        <f t="shared" si="10"/>
        <v>11849.98</v>
      </c>
      <c r="K35" s="164">
        <f t="shared" si="10"/>
        <v>749</v>
      </c>
      <c r="L35" s="243">
        <f>L34+L30</f>
        <v>28950208.07</v>
      </c>
      <c r="M35" s="243">
        <f t="shared" si="10"/>
        <v>0</v>
      </c>
      <c r="N35" s="243">
        <f t="shared" si="10"/>
        <v>6953397.103774279</v>
      </c>
      <c r="O35" s="243">
        <f t="shared" si="10"/>
        <v>1794932.3446300002</v>
      </c>
      <c r="P35" s="243">
        <f t="shared" si="10"/>
        <v>20201878.62159572</v>
      </c>
      <c r="Q35" s="224" t="s">
        <v>33</v>
      </c>
      <c r="R35" s="102" t="s">
        <v>33</v>
      </c>
      <c r="S35" s="105">
        <f>L35-N35-O35-P35</f>
        <v>0</v>
      </c>
      <c r="T35" s="55" t="b">
        <f>L35='раздел 4'!C38</f>
        <v>1</v>
      </c>
      <c r="U35" s="55">
        <f>'раздел 4'!C38-раздел3!N35-раздел3!O35-раздел3!P35</f>
        <v>0</v>
      </c>
      <c r="V35" s="55">
        <f>L35-'раздел 4'!C38</f>
        <v>0</v>
      </c>
      <c r="Z35" s="212">
        <f t="shared" si="0"/>
        <v>-18406946.276965722</v>
      </c>
    </row>
    <row r="36" spans="1:26" s="101" customFormat="1" ht="15" customHeight="1">
      <c r="A36" s="261" t="s">
        <v>67</v>
      </c>
      <c r="B36" s="262"/>
      <c r="C36" s="262"/>
      <c r="D36" s="262"/>
      <c r="E36" s="262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3"/>
      <c r="S36" s="216"/>
      <c r="T36" s="55" t="b">
        <f>L36='раздел 4'!C39</f>
        <v>1</v>
      </c>
      <c r="U36" s="55">
        <f>'раздел 4'!C39-раздел3!N36-раздел3!O36-раздел3!P36</f>
        <v>0</v>
      </c>
      <c r="V36" s="55">
        <f>L36-'раздел 4'!C39</f>
        <v>0</v>
      </c>
      <c r="Z36" s="212">
        <f t="shared" si="0"/>
        <v>0</v>
      </c>
    </row>
    <row r="37" spans="1:26" s="101" customFormat="1" ht="15" customHeight="1">
      <c r="A37" s="259" t="s">
        <v>246</v>
      </c>
      <c r="B37" s="259"/>
      <c r="C37" s="259"/>
      <c r="D37" s="215"/>
      <c r="E37" s="215"/>
      <c r="F37" s="215"/>
      <c r="G37" s="215"/>
      <c r="H37" s="215"/>
      <c r="I37" s="215"/>
      <c r="J37" s="215"/>
      <c r="K37" s="111"/>
      <c r="L37" s="87"/>
      <c r="M37" s="87"/>
      <c r="N37" s="87"/>
      <c r="O37" s="87"/>
      <c r="P37" s="87"/>
      <c r="Q37" s="215"/>
      <c r="R37" s="216"/>
      <c r="S37" s="216"/>
      <c r="T37" s="55" t="b">
        <f>L37='раздел 4'!C40</f>
        <v>1</v>
      </c>
      <c r="U37" s="55">
        <f>'раздел 4'!C40-раздел3!N37-раздел3!O37-раздел3!P37</f>
        <v>0</v>
      </c>
      <c r="V37" s="55">
        <f>L37-'раздел 4'!C40</f>
        <v>0</v>
      </c>
      <c r="W37" s="101" t="s">
        <v>187</v>
      </c>
      <c r="Z37" s="212">
        <f t="shared" si="0"/>
        <v>0</v>
      </c>
    </row>
    <row r="38" spans="1:26" s="101" customFormat="1" ht="15" customHeight="1">
      <c r="A38" s="231">
        <f>A33+1</f>
        <v>10</v>
      </c>
      <c r="B38" s="112" t="s">
        <v>188</v>
      </c>
      <c r="C38" s="226">
        <v>1961</v>
      </c>
      <c r="D38" s="226"/>
      <c r="E38" s="226" t="s">
        <v>315</v>
      </c>
      <c r="F38" s="226">
        <v>3</v>
      </c>
      <c r="G38" s="226">
        <v>3</v>
      </c>
      <c r="H38" s="165">
        <v>930.3</v>
      </c>
      <c r="I38" s="165">
        <v>930.3</v>
      </c>
      <c r="J38" s="102">
        <v>708.6</v>
      </c>
      <c r="K38" s="8">
        <v>65</v>
      </c>
      <c r="L38" s="224">
        <f>'раздел 4'!C41</f>
        <v>236137.56</v>
      </c>
      <c r="M38" s="102">
        <v>0</v>
      </c>
      <c r="N38" s="224">
        <f>L38*0.6</f>
        <v>141682.536</v>
      </c>
      <c r="O38" s="224">
        <f>L38*0.2</f>
        <v>47227.512</v>
      </c>
      <c r="P38" s="224">
        <f>L38-N38-O38</f>
        <v>47227.512</v>
      </c>
      <c r="Q38" s="103" t="s">
        <v>387</v>
      </c>
      <c r="R38" s="104" t="s">
        <v>303</v>
      </c>
      <c r="S38" s="216"/>
      <c r="T38" s="55" t="b">
        <f>L38='раздел 4'!C41</f>
        <v>1</v>
      </c>
      <c r="U38" s="55">
        <f>'раздел 4'!C41-раздел3!N38-раздел3!O38-раздел3!P38</f>
        <v>0</v>
      </c>
      <c r="V38" s="55">
        <f>L38-'раздел 4'!C41</f>
        <v>0</v>
      </c>
      <c r="Z38" s="212">
        <f t="shared" si="0"/>
        <v>0</v>
      </c>
    </row>
    <row r="39" spans="1:26" s="101" customFormat="1" ht="15" customHeight="1">
      <c r="A39" s="231">
        <f>A38+1</f>
        <v>11</v>
      </c>
      <c r="B39" s="112" t="s">
        <v>189</v>
      </c>
      <c r="C39" s="226">
        <v>1955</v>
      </c>
      <c r="D39" s="226"/>
      <c r="E39" s="113" t="s">
        <v>26</v>
      </c>
      <c r="F39" s="226">
        <v>2</v>
      </c>
      <c r="G39" s="226">
        <v>2</v>
      </c>
      <c r="H39" s="166">
        <v>614.08</v>
      </c>
      <c r="I39" s="166">
        <v>614.08</v>
      </c>
      <c r="J39" s="102">
        <v>197.32</v>
      </c>
      <c r="K39" s="8">
        <v>62</v>
      </c>
      <c r="L39" s="224">
        <f>'раздел 4'!C42</f>
        <v>197987.52</v>
      </c>
      <c r="M39" s="102">
        <v>0</v>
      </c>
      <c r="N39" s="224">
        <v>118792.52</v>
      </c>
      <c r="O39" s="224">
        <v>39597.5</v>
      </c>
      <c r="P39" s="224">
        <f>L39-N39-O39</f>
        <v>39597.499999999985</v>
      </c>
      <c r="Q39" s="103" t="s">
        <v>387</v>
      </c>
      <c r="R39" s="104" t="s">
        <v>303</v>
      </c>
      <c r="S39" s="105">
        <f>L39-N39-O39-P39</f>
        <v>0</v>
      </c>
      <c r="T39" s="55" t="b">
        <f>L39='раздел 4'!C42</f>
        <v>1</v>
      </c>
      <c r="U39" s="55">
        <f>'раздел 4'!C42-раздел3!N39-раздел3!O39-раздел3!P39</f>
        <v>0</v>
      </c>
      <c r="V39" s="55">
        <f>L39-'раздел 4'!C42</f>
        <v>0</v>
      </c>
      <c r="Z39" s="212">
        <f t="shared" si="0"/>
        <v>0</v>
      </c>
    </row>
    <row r="40" spans="1:26" s="101" customFormat="1" ht="15" customHeight="1">
      <c r="A40" s="282" t="s">
        <v>60</v>
      </c>
      <c r="B40" s="283"/>
      <c r="C40" s="102" t="s">
        <v>33</v>
      </c>
      <c r="D40" s="102" t="s">
        <v>33</v>
      </c>
      <c r="E40" s="102" t="s">
        <v>33</v>
      </c>
      <c r="F40" s="102" t="s">
        <v>33</v>
      </c>
      <c r="G40" s="102" t="s">
        <v>33</v>
      </c>
      <c r="H40" s="224">
        <f aca="true" t="shared" si="11" ref="H40:P40">SUM(H38:H39)</f>
        <v>1544.38</v>
      </c>
      <c r="I40" s="224">
        <f t="shared" si="11"/>
        <v>1544.38</v>
      </c>
      <c r="J40" s="224">
        <f t="shared" si="11"/>
        <v>905.9200000000001</v>
      </c>
      <c r="K40" s="7">
        <f t="shared" si="11"/>
        <v>127</v>
      </c>
      <c r="L40" s="224">
        <f>SUM(L38:L39)</f>
        <v>434125.07999999996</v>
      </c>
      <c r="M40" s="224">
        <f t="shared" si="11"/>
        <v>0</v>
      </c>
      <c r="N40" s="224">
        <f t="shared" si="11"/>
        <v>260475.05599999998</v>
      </c>
      <c r="O40" s="224">
        <f t="shared" si="11"/>
        <v>86825.012</v>
      </c>
      <c r="P40" s="224">
        <f t="shared" si="11"/>
        <v>86825.01199999999</v>
      </c>
      <c r="Q40" s="224" t="s">
        <v>33</v>
      </c>
      <c r="R40" s="102" t="s">
        <v>33</v>
      </c>
      <c r="S40" s="216"/>
      <c r="T40" s="55" t="b">
        <f>L40='раздел 4'!C43</f>
        <v>1</v>
      </c>
      <c r="U40" s="55">
        <f>'раздел 4'!C43-раздел3!N40-раздел3!O40-раздел3!P40</f>
        <v>0</v>
      </c>
      <c r="V40" s="55">
        <f>L40-'раздел 4'!C43</f>
        <v>0</v>
      </c>
      <c r="Z40" s="212">
        <f t="shared" si="0"/>
        <v>0</v>
      </c>
    </row>
    <row r="41" spans="1:26" s="101" customFormat="1" ht="15" customHeight="1">
      <c r="A41" s="259" t="s">
        <v>68</v>
      </c>
      <c r="B41" s="259"/>
      <c r="C41" s="259"/>
      <c r="D41" s="231"/>
      <c r="E41" s="231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14"/>
      <c r="T41" s="55" t="b">
        <f>L41='раздел 4'!C44</f>
        <v>1</v>
      </c>
      <c r="U41" s="55">
        <f>'раздел 4'!C44-раздел3!N41-раздел3!O41-раздел3!P41</f>
        <v>0</v>
      </c>
      <c r="V41" s="55">
        <f>L41-'раздел 4'!C44</f>
        <v>0</v>
      </c>
      <c r="W41" s="101" t="s">
        <v>187</v>
      </c>
      <c r="Z41" s="212">
        <f t="shared" si="0"/>
        <v>0</v>
      </c>
    </row>
    <row r="42" spans="1:26" s="101" customFormat="1" ht="15" customHeight="1">
      <c r="A42" s="231">
        <f>A39+1</f>
        <v>12</v>
      </c>
      <c r="B42" s="22" t="s">
        <v>132</v>
      </c>
      <c r="C42" s="114" t="s">
        <v>30</v>
      </c>
      <c r="D42" s="114"/>
      <c r="E42" s="226" t="s">
        <v>24</v>
      </c>
      <c r="F42" s="168" t="s">
        <v>133</v>
      </c>
      <c r="G42" s="168">
        <v>3</v>
      </c>
      <c r="H42" s="115">
        <v>5809.49</v>
      </c>
      <c r="I42" s="115">
        <v>5209.49</v>
      </c>
      <c r="J42" s="116">
        <v>4944.01</v>
      </c>
      <c r="K42" s="168">
        <v>164</v>
      </c>
      <c r="L42" s="224">
        <v>1102077.51</v>
      </c>
      <c r="M42" s="224">
        <v>0</v>
      </c>
      <c r="N42" s="224">
        <v>661246.5137678351</v>
      </c>
      <c r="O42" s="224">
        <v>220415.4981160824</v>
      </c>
      <c r="P42" s="224">
        <v>220415.49811608254</v>
      </c>
      <c r="Q42" s="103" t="s">
        <v>387</v>
      </c>
      <c r="R42" s="104" t="s">
        <v>303</v>
      </c>
      <c r="S42" s="109"/>
      <c r="T42" s="55" t="b">
        <f>L42='раздел 4'!C45</f>
        <v>1</v>
      </c>
      <c r="U42" s="55">
        <f>'раздел 4'!C45-раздел3!N42-раздел3!O42-раздел3!P42</f>
        <v>0</v>
      </c>
      <c r="V42" s="55">
        <f>L42-'раздел 4'!C45</f>
        <v>0</v>
      </c>
      <c r="Z42" s="212">
        <f t="shared" si="0"/>
        <v>0</v>
      </c>
    </row>
    <row r="43" spans="1:26" s="101" customFormat="1" ht="15" customHeight="1">
      <c r="A43" s="231">
        <f aca="true" t="shared" si="12" ref="A43:A57">A42+1</f>
        <v>13</v>
      </c>
      <c r="B43" s="22" t="s">
        <v>160</v>
      </c>
      <c r="C43" s="114">
        <v>1957</v>
      </c>
      <c r="D43" s="114"/>
      <c r="E43" s="226" t="s">
        <v>24</v>
      </c>
      <c r="F43" s="168">
        <v>2</v>
      </c>
      <c r="G43" s="168">
        <v>2</v>
      </c>
      <c r="H43" s="115">
        <v>703.28</v>
      </c>
      <c r="I43" s="115">
        <v>703.28</v>
      </c>
      <c r="J43" s="116">
        <v>581.1</v>
      </c>
      <c r="K43" s="168">
        <v>42</v>
      </c>
      <c r="L43" s="224">
        <f>'раздел 4'!C46</f>
        <v>185215.75</v>
      </c>
      <c r="M43" s="224">
        <v>0</v>
      </c>
      <c r="N43" s="224">
        <v>111129.45</v>
      </c>
      <c r="O43" s="224">
        <v>37043.15</v>
      </c>
      <c r="P43" s="224">
        <f aca="true" t="shared" si="13" ref="P43:P57">L43-N43-O43</f>
        <v>37043.15</v>
      </c>
      <c r="Q43" s="103" t="s">
        <v>387</v>
      </c>
      <c r="R43" s="104" t="s">
        <v>303</v>
      </c>
      <c r="S43" s="109"/>
      <c r="T43" s="55" t="b">
        <f>L43='раздел 4'!C46</f>
        <v>1</v>
      </c>
      <c r="U43" s="55">
        <f>'раздел 4'!C46-раздел3!N43-раздел3!O43-раздел3!P43</f>
        <v>0</v>
      </c>
      <c r="V43" s="55">
        <f>L43-'раздел 4'!C46</f>
        <v>0</v>
      </c>
      <c r="Z43" s="212">
        <f t="shared" si="0"/>
        <v>0</v>
      </c>
    </row>
    <row r="44" spans="1:26" s="101" customFormat="1" ht="15" customHeight="1">
      <c r="A44" s="231">
        <f t="shared" si="12"/>
        <v>14</v>
      </c>
      <c r="B44" s="22" t="s">
        <v>161</v>
      </c>
      <c r="C44" s="231">
        <v>1977</v>
      </c>
      <c r="D44" s="231"/>
      <c r="E44" s="78" t="s">
        <v>32</v>
      </c>
      <c r="F44" s="7">
        <v>5</v>
      </c>
      <c r="G44" s="7">
        <v>6</v>
      </c>
      <c r="H44" s="224">
        <v>4410.7</v>
      </c>
      <c r="I44" s="224">
        <v>4410.7</v>
      </c>
      <c r="J44" s="224">
        <v>3207.82</v>
      </c>
      <c r="K44" s="7">
        <v>233</v>
      </c>
      <c r="L44" s="224">
        <v>366595.64</v>
      </c>
      <c r="M44" s="224">
        <v>0</v>
      </c>
      <c r="N44" s="224">
        <v>219957.38783999998</v>
      </c>
      <c r="O44" s="224">
        <v>73319.12608</v>
      </c>
      <c r="P44" s="224">
        <v>73319.12608000003</v>
      </c>
      <c r="Q44" s="103" t="s">
        <v>387</v>
      </c>
      <c r="R44" s="104" t="s">
        <v>303</v>
      </c>
      <c r="S44" s="109"/>
      <c r="T44" s="55" t="b">
        <f>L44='раздел 4'!C47</f>
        <v>1</v>
      </c>
      <c r="U44" s="55">
        <f>'раздел 4'!C47-раздел3!N44-раздел3!O44-раздел3!P44</f>
        <v>0</v>
      </c>
      <c r="V44" s="55">
        <f>L44-'раздел 4'!C47</f>
        <v>0</v>
      </c>
      <c r="Z44" s="212">
        <f t="shared" si="0"/>
        <v>0</v>
      </c>
    </row>
    <row r="45" spans="1:26" s="101" customFormat="1" ht="15" customHeight="1">
      <c r="A45" s="231">
        <f t="shared" si="12"/>
        <v>15</v>
      </c>
      <c r="B45" s="22" t="s">
        <v>162</v>
      </c>
      <c r="C45" s="114">
        <v>1940</v>
      </c>
      <c r="D45" s="114"/>
      <c r="E45" s="226" t="s">
        <v>24</v>
      </c>
      <c r="F45" s="168">
        <v>2</v>
      </c>
      <c r="G45" s="168">
        <v>1</v>
      </c>
      <c r="H45" s="115">
        <v>373.4</v>
      </c>
      <c r="I45" s="115">
        <v>373.4</v>
      </c>
      <c r="J45" s="116">
        <v>44.72</v>
      </c>
      <c r="K45" s="168">
        <v>28</v>
      </c>
      <c r="L45" s="224">
        <f>'раздел 4'!C48</f>
        <v>193326.55</v>
      </c>
      <c r="M45" s="224">
        <v>0</v>
      </c>
      <c r="N45" s="224">
        <v>115995.93</v>
      </c>
      <c r="O45" s="224">
        <v>38665.31</v>
      </c>
      <c r="P45" s="224">
        <f t="shared" si="13"/>
        <v>38665.31</v>
      </c>
      <c r="Q45" s="103" t="s">
        <v>387</v>
      </c>
      <c r="R45" s="104" t="s">
        <v>303</v>
      </c>
      <c r="S45" s="109"/>
      <c r="T45" s="55" t="b">
        <f>L45='раздел 4'!C48</f>
        <v>1</v>
      </c>
      <c r="U45" s="55">
        <f>'раздел 4'!C48-раздел3!N45-раздел3!O45-раздел3!P45</f>
        <v>0</v>
      </c>
      <c r="V45" s="55">
        <f>L45-'раздел 4'!C48</f>
        <v>0</v>
      </c>
      <c r="Z45" s="212">
        <f t="shared" si="0"/>
        <v>0</v>
      </c>
    </row>
    <row r="46" spans="1:26" s="101" customFormat="1" ht="15" customHeight="1">
      <c r="A46" s="231">
        <f t="shared" si="12"/>
        <v>16</v>
      </c>
      <c r="B46" s="22" t="s">
        <v>163</v>
      </c>
      <c r="C46" s="114">
        <v>1940</v>
      </c>
      <c r="D46" s="114"/>
      <c r="E46" s="226" t="s">
        <v>24</v>
      </c>
      <c r="F46" s="168">
        <v>5</v>
      </c>
      <c r="G46" s="168">
        <v>2</v>
      </c>
      <c r="H46" s="115">
        <v>1819.5</v>
      </c>
      <c r="I46" s="115">
        <v>1325.8</v>
      </c>
      <c r="J46" s="116">
        <v>801.22</v>
      </c>
      <c r="K46" s="168">
        <v>46</v>
      </c>
      <c r="L46" s="224">
        <v>352363.83</v>
      </c>
      <c r="M46" s="224">
        <v>0</v>
      </c>
      <c r="N46" s="224">
        <v>211418.30183999997</v>
      </c>
      <c r="O46" s="224">
        <v>70472.76408000004</v>
      </c>
      <c r="P46" s="224">
        <v>70472.76408000001</v>
      </c>
      <c r="Q46" s="103" t="s">
        <v>387</v>
      </c>
      <c r="R46" s="104" t="s">
        <v>303</v>
      </c>
      <c r="S46" s="109"/>
      <c r="T46" s="55" t="b">
        <f>L46='раздел 4'!C49</f>
        <v>1</v>
      </c>
      <c r="U46" s="55">
        <f>'раздел 4'!C49-раздел3!N46-раздел3!O46-раздел3!P46</f>
        <v>0</v>
      </c>
      <c r="V46" s="55">
        <f>L46-'раздел 4'!C49</f>
        <v>0</v>
      </c>
      <c r="Z46" s="212">
        <f t="shared" si="0"/>
        <v>0</v>
      </c>
    </row>
    <row r="47" spans="1:26" s="101" customFormat="1" ht="16.5" customHeight="1">
      <c r="A47" s="231">
        <f t="shared" si="12"/>
        <v>17</v>
      </c>
      <c r="B47" s="22" t="s">
        <v>164</v>
      </c>
      <c r="C47" s="114">
        <v>1976</v>
      </c>
      <c r="D47" s="114"/>
      <c r="E47" s="226" t="s">
        <v>24</v>
      </c>
      <c r="F47" s="168">
        <v>9</v>
      </c>
      <c r="G47" s="168">
        <v>5</v>
      </c>
      <c r="H47" s="115">
        <v>6811.03</v>
      </c>
      <c r="I47" s="115">
        <v>6466.34</v>
      </c>
      <c r="J47" s="116">
        <v>6110.38</v>
      </c>
      <c r="K47" s="168">
        <v>255</v>
      </c>
      <c r="L47" s="224">
        <f>'раздел 4'!C50</f>
        <v>1871824.06</v>
      </c>
      <c r="M47" s="224">
        <v>0</v>
      </c>
      <c r="N47" s="224">
        <v>1123094.44</v>
      </c>
      <c r="O47" s="224">
        <v>374364.81</v>
      </c>
      <c r="P47" s="224">
        <f t="shared" si="13"/>
        <v>374364.8100000001</v>
      </c>
      <c r="Q47" s="103" t="s">
        <v>387</v>
      </c>
      <c r="R47" s="104" t="s">
        <v>303</v>
      </c>
      <c r="S47" s="109"/>
      <c r="T47" s="55" t="b">
        <f>L47='раздел 4'!C50</f>
        <v>1</v>
      </c>
      <c r="U47" s="55">
        <f>'раздел 4'!C50-раздел3!N47-раздел3!O47-раздел3!P47</f>
        <v>0</v>
      </c>
      <c r="V47" s="55">
        <f>L47-'раздел 4'!C50</f>
        <v>0</v>
      </c>
      <c r="Z47" s="212">
        <f t="shared" si="0"/>
        <v>0</v>
      </c>
    </row>
    <row r="48" spans="1:26" s="101" customFormat="1" ht="15" customHeight="1">
      <c r="A48" s="231">
        <f t="shared" si="12"/>
        <v>18</v>
      </c>
      <c r="B48" s="22" t="s">
        <v>327</v>
      </c>
      <c r="C48" s="114">
        <v>1973</v>
      </c>
      <c r="D48" s="114"/>
      <c r="E48" s="226" t="s">
        <v>24</v>
      </c>
      <c r="F48" s="168">
        <v>6</v>
      </c>
      <c r="G48" s="168">
        <v>1</v>
      </c>
      <c r="H48" s="115">
        <v>1344.91</v>
      </c>
      <c r="I48" s="115">
        <v>1116.27</v>
      </c>
      <c r="J48" s="116">
        <v>893.11</v>
      </c>
      <c r="K48" s="168">
        <v>55</v>
      </c>
      <c r="L48" s="224">
        <f>'раздел 4'!C51</f>
        <v>1059376.83</v>
      </c>
      <c r="M48" s="224">
        <v>0</v>
      </c>
      <c r="N48" s="224">
        <v>635626.09</v>
      </c>
      <c r="O48" s="224">
        <v>211875.37</v>
      </c>
      <c r="P48" s="224">
        <f t="shared" si="13"/>
        <v>211875.3700000001</v>
      </c>
      <c r="Q48" s="103" t="s">
        <v>387</v>
      </c>
      <c r="R48" s="104" t="s">
        <v>303</v>
      </c>
      <c r="S48" s="109"/>
      <c r="T48" s="55" t="b">
        <f>L48='раздел 4'!C51</f>
        <v>1</v>
      </c>
      <c r="U48" s="55">
        <f>'раздел 4'!C51-раздел3!N48-раздел3!O48-раздел3!P48</f>
        <v>0</v>
      </c>
      <c r="V48" s="55">
        <f>L48-'раздел 4'!C51</f>
        <v>0</v>
      </c>
      <c r="Z48" s="212">
        <f t="shared" si="0"/>
        <v>0</v>
      </c>
    </row>
    <row r="49" spans="1:26" s="101" customFormat="1" ht="15" customHeight="1">
      <c r="A49" s="231">
        <f t="shared" si="12"/>
        <v>19</v>
      </c>
      <c r="B49" s="22" t="s">
        <v>165</v>
      </c>
      <c r="C49" s="114" t="s">
        <v>173</v>
      </c>
      <c r="D49" s="114"/>
      <c r="E49" s="226" t="s">
        <v>24</v>
      </c>
      <c r="F49" s="168">
        <v>4</v>
      </c>
      <c r="G49" s="168">
        <v>2</v>
      </c>
      <c r="H49" s="115">
        <v>1026.22</v>
      </c>
      <c r="I49" s="115">
        <v>1026.22</v>
      </c>
      <c r="J49" s="116">
        <v>847.5</v>
      </c>
      <c r="K49" s="168">
        <v>55</v>
      </c>
      <c r="L49" s="224">
        <f>'раздел 4'!C52</f>
        <v>600615.9890000001</v>
      </c>
      <c r="M49" s="224">
        <v>0</v>
      </c>
      <c r="N49" s="224">
        <v>360369.59</v>
      </c>
      <c r="O49" s="224">
        <v>120123.2</v>
      </c>
      <c r="P49" s="224">
        <f t="shared" si="13"/>
        <v>120123.19900000004</v>
      </c>
      <c r="Q49" s="103" t="s">
        <v>387</v>
      </c>
      <c r="R49" s="104" t="s">
        <v>303</v>
      </c>
      <c r="S49" s="109"/>
      <c r="T49" s="55" t="b">
        <f>L49='раздел 4'!C52</f>
        <v>1</v>
      </c>
      <c r="U49" s="55">
        <f>'раздел 4'!C52-раздел3!N49-раздел3!O49-раздел3!P49</f>
        <v>0</v>
      </c>
      <c r="V49" s="55">
        <f>L49-'раздел 4'!C52</f>
        <v>0</v>
      </c>
      <c r="Z49" s="212">
        <f t="shared" si="0"/>
        <v>0.00099999996018596</v>
      </c>
    </row>
    <row r="50" spans="1:26" s="101" customFormat="1" ht="15" customHeight="1">
      <c r="A50" s="231">
        <f t="shared" si="12"/>
        <v>20</v>
      </c>
      <c r="B50" s="22" t="s">
        <v>386</v>
      </c>
      <c r="C50" s="114">
        <v>1954</v>
      </c>
      <c r="D50" s="114"/>
      <c r="E50" s="226" t="s">
        <v>24</v>
      </c>
      <c r="F50" s="168">
        <v>2</v>
      </c>
      <c r="G50" s="168">
        <v>2</v>
      </c>
      <c r="H50" s="115">
        <v>394.61</v>
      </c>
      <c r="I50" s="115">
        <v>394.61</v>
      </c>
      <c r="J50" s="116">
        <v>104.45</v>
      </c>
      <c r="K50" s="168">
        <v>32</v>
      </c>
      <c r="L50" s="224">
        <v>140747.46</v>
      </c>
      <c r="M50" s="224">
        <v>0</v>
      </c>
      <c r="N50" s="224">
        <v>84448.48</v>
      </c>
      <c r="O50" s="224">
        <v>28149.49</v>
      </c>
      <c r="P50" s="224">
        <v>28149.489999999994</v>
      </c>
      <c r="Q50" s="103" t="s">
        <v>387</v>
      </c>
      <c r="R50" s="104" t="s">
        <v>303</v>
      </c>
      <c r="S50" s="109"/>
      <c r="T50" s="55" t="b">
        <f>L50='раздел 4'!C53</f>
        <v>1</v>
      </c>
      <c r="U50" s="55">
        <f>'раздел 4'!C53-раздел3!N50-раздел3!O50-раздел3!P50</f>
        <v>0</v>
      </c>
      <c r="V50" s="55"/>
      <c r="Z50" s="212">
        <f t="shared" si="0"/>
        <v>0</v>
      </c>
    </row>
    <row r="51" spans="1:26" s="101" customFormat="1" ht="15" customHeight="1">
      <c r="A51" s="231">
        <f t="shared" si="12"/>
        <v>21</v>
      </c>
      <c r="B51" s="213" t="s">
        <v>166</v>
      </c>
      <c r="C51" s="231">
        <v>1973</v>
      </c>
      <c r="D51" s="231"/>
      <c r="E51" s="231" t="s">
        <v>24</v>
      </c>
      <c r="F51" s="7">
        <v>5</v>
      </c>
      <c r="G51" s="7">
        <v>2</v>
      </c>
      <c r="H51" s="224">
        <v>4551.5</v>
      </c>
      <c r="I51" s="224">
        <v>3237.2</v>
      </c>
      <c r="J51" s="224">
        <v>2451.41</v>
      </c>
      <c r="K51" s="7">
        <v>215</v>
      </c>
      <c r="L51" s="224">
        <v>944675.06</v>
      </c>
      <c r="M51" s="224">
        <v>0</v>
      </c>
      <c r="N51" s="224">
        <v>566805.0284748208</v>
      </c>
      <c r="O51" s="224">
        <v>188935.01576258964</v>
      </c>
      <c r="P51" s="224">
        <v>188935.01576258964</v>
      </c>
      <c r="Q51" s="103" t="s">
        <v>387</v>
      </c>
      <c r="R51" s="104" t="s">
        <v>303</v>
      </c>
      <c r="S51" s="109"/>
      <c r="T51" s="55" t="b">
        <f>L51='раздел 4'!C54</f>
        <v>1</v>
      </c>
      <c r="U51" s="55">
        <f>'раздел 4'!C54-раздел3!N51-раздел3!O51-раздел3!P51</f>
        <v>0</v>
      </c>
      <c r="V51" s="55">
        <f>L51-'раздел 4'!C54</f>
        <v>0</v>
      </c>
      <c r="Z51" s="212">
        <f t="shared" si="0"/>
        <v>0</v>
      </c>
    </row>
    <row r="52" spans="1:26" s="101" customFormat="1" ht="15" customHeight="1">
      <c r="A52" s="231">
        <f t="shared" si="12"/>
        <v>22</v>
      </c>
      <c r="B52" s="22" t="s">
        <v>167</v>
      </c>
      <c r="C52" s="114">
        <v>1972</v>
      </c>
      <c r="D52" s="114"/>
      <c r="E52" s="226" t="s">
        <v>32</v>
      </c>
      <c r="F52" s="168">
        <v>5</v>
      </c>
      <c r="G52" s="168">
        <v>8</v>
      </c>
      <c r="H52" s="115">
        <v>6267.25</v>
      </c>
      <c r="I52" s="115">
        <v>5504.73</v>
      </c>
      <c r="J52" s="116">
        <v>4239.54</v>
      </c>
      <c r="K52" s="168">
        <v>292</v>
      </c>
      <c r="L52" s="224">
        <f>'раздел 4'!C55</f>
        <v>520302.06</v>
      </c>
      <c r="M52" s="224">
        <v>0</v>
      </c>
      <c r="N52" s="224">
        <v>312181.24</v>
      </c>
      <c r="O52" s="224">
        <v>104060.41</v>
      </c>
      <c r="P52" s="224">
        <f t="shared" si="13"/>
        <v>104060.41</v>
      </c>
      <c r="Q52" s="103" t="s">
        <v>387</v>
      </c>
      <c r="R52" s="104" t="s">
        <v>303</v>
      </c>
      <c r="S52" s="109"/>
      <c r="T52" s="55" t="b">
        <f>L52='раздел 4'!C55</f>
        <v>1</v>
      </c>
      <c r="U52" s="55">
        <f>'раздел 4'!C55-раздел3!N52-раздел3!O52-раздел3!P52</f>
        <v>0</v>
      </c>
      <c r="V52" s="55">
        <f>L52-'раздел 4'!C55</f>
        <v>0</v>
      </c>
      <c r="Z52" s="212">
        <f t="shared" si="0"/>
        <v>0</v>
      </c>
    </row>
    <row r="53" spans="1:26" s="101" customFormat="1" ht="15" customHeight="1">
      <c r="A53" s="231">
        <f t="shared" si="12"/>
        <v>23</v>
      </c>
      <c r="B53" s="22" t="s">
        <v>168</v>
      </c>
      <c r="C53" s="114">
        <v>1940</v>
      </c>
      <c r="D53" s="114"/>
      <c r="E53" s="226" t="s">
        <v>24</v>
      </c>
      <c r="F53" s="168">
        <v>7</v>
      </c>
      <c r="G53" s="168">
        <v>2</v>
      </c>
      <c r="H53" s="115">
        <v>2161.86</v>
      </c>
      <c r="I53" s="115">
        <v>2119.42</v>
      </c>
      <c r="J53" s="116">
        <v>1781.34</v>
      </c>
      <c r="K53" s="168">
        <v>75</v>
      </c>
      <c r="L53" s="224">
        <v>449086.96</v>
      </c>
      <c r="M53" s="224">
        <v>0</v>
      </c>
      <c r="N53" s="224">
        <f>L53*60/100</f>
        <v>269452.17600000004</v>
      </c>
      <c r="O53" s="224">
        <f>(L53-N53)/2</f>
        <v>89817.39199999999</v>
      </c>
      <c r="P53" s="224">
        <f t="shared" si="13"/>
        <v>89817.39199999999</v>
      </c>
      <c r="Q53" s="103" t="s">
        <v>387</v>
      </c>
      <c r="R53" s="104" t="s">
        <v>303</v>
      </c>
      <c r="S53" s="109"/>
      <c r="T53" s="55" t="b">
        <f>L53='раздел 4'!C56</f>
        <v>1</v>
      </c>
      <c r="U53" s="55">
        <f>'раздел 4'!C56-раздел3!N53-раздел3!O53-раздел3!P53</f>
        <v>0</v>
      </c>
      <c r="V53" s="55">
        <f>L53-'раздел 4'!C56</f>
        <v>0</v>
      </c>
      <c r="Z53" s="212">
        <f t="shared" si="0"/>
        <v>0</v>
      </c>
    </row>
    <row r="54" spans="1:26" s="101" customFormat="1" ht="15" customHeight="1">
      <c r="A54" s="231">
        <f t="shared" si="12"/>
        <v>24</v>
      </c>
      <c r="B54" s="22" t="s">
        <v>169</v>
      </c>
      <c r="C54" s="114">
        <v>1960</v>
      </c>
      <c r="D54" s="114"/>
      <c r="E54" s="226" t="s">
        <v>24</v>
      </c>
      <c r="F54" s="168">
        <v>5</v>
      </c>
      <c r="G54" s="168">
        <v>2</v>
      </c>
      <c r="H54" s="115">
        <v>2479.38</v>
      </c>
      <c r="I54" s="115">
        <v>1758.52</v>
      </c>
      <c r="J54" s="116">
        <v>997.73</v>
      </c>
      <c r="K54" s="168">
        <v>92</v>
      </c>
      <c r="L54" s="224">
        <v>428682.08</v>
      </c>
      <c r="M54" s="224">
        <v>0</v>
      </c>
      <c r="N54" s="224">
        <v>257209.24031999995</v>
      </c>
      <c r="O54" s="224">
        <v>85736.41984000005</v>
      </c>
      <c r="P54" s="224">
        <v>85736.41984000002</v>
      </c>
      <c r="Q54" s="103" t="s">
        <v>387</v>
      </c>
      <c r="R54" s="104" t="s">
        <v>303</v>
      </c>
      <c r="S54" s="109"/>
      <c r="T54" s="55" t="b">
        <f>L54='раздел 4'!C57</f>
        <v>1</v>
      </c>
      <c r="U54" s="55">
        <f>'раздел 4'!C57-раздел3!N54-раздел3!O54-раздел3!P54</f>
        <v>0</v>
      </c>
      <c r="V54" s="55">
        <f>L54-'раздел 4'!C57</f>
        <v>0</v>
      </c>
      <c r="Z54" s="212">
        <f t="shared" si="0"/>
        <v>0</v>
      </c>
    </row>
    <row r="55" spans="1:26" s="101" customFormat="1" ht="15" customHeight="1">
      <c r="A55" s="231">
        <f t="shared" si="12"/>
        <v>25</v>
      </c>
      <c r="B55" s="213" t="s">
        <v>170</v>
      </c>
      <c r="C55" s="231" t="s">
        <v>30</v>
      </c>
      <c r="D55" s="231"/>
      <c r="E55" s="231" t="s">
        <v>24</v>
      </c>
      <c r="F55" s="7">
        <v>4</v>
      </c>
      <c r="G55" s="7">
        <v>4</v>
      </c>
      <c r="H55" s="224">
        <v>2142.88</v>
      </c>
      <c r="I55" s="224">
        <v>1972.43</v>
      </c>
      <c r="J55" s="224">
        <v>1790.4</v>
      </c>
      <c r="K55" s="7">
        <v>62</v>
      </c>
      <c r="L55" s="224">
        <v>1117114.38</v>
      </c>
      <c r="M55" s="224">
        <v>0</v>
      </c>
      <c r="N55" s="224">
        <v>670268.6318399999</v>
      </c>
      <c r="O55" s="224">
        <v>223422.87407999995</v>
      </c>
      <c r="P55" s="224">
        <v>223422.87408</v>
      </c>
      <c r="Q55" s="103" t="s">
        <v>387</v>
      </c>
      <c r="R55" s="104" t="s">
        <v>303</v>
      </c>
      <c r="S55" s="109"/>
      <c r="T55" s="55" t="b">
        <f>L55='раздел 4'!C58</f>
        <v>1</v>
      </c>
      <c r="U55" s="55">
        <f>'раздел 4'!C58-раздел3!N55-раздел3!O55-раздел3!P55</f>
        <v>0</v>
      </c>
      <c r="V55" s="55">
        <f>L55-'раздел 4'!C58</f>
        <v>0</v>
      </c>
      <c r="Z55" s="212">
        <f t="shared" si="0"/>
        <v>0</v>
      </c>
    </row>
    <row r="56" spans="1:26" s="101" customFormat="1" ht="15" customHeight="1">
      <c r="A56" s="231">
        <f t="shared" si="12"/>
        <v>26</v>
      </c>
      <c r="B56" s="22" t="s">
        <v>171</v>
      </c>
      <c r="C56" s="114">
        <v>1997</v>
      </c>
      <c r="D56" s="114"/>
      <c r="E56" s="226" t="s">
        <v>24</v>
      </c>
      <c r="F56" s="168">
        <v>14</v>
      </c>
      <c r="G56" s="168">
        <v>1</v>
      </c>
      <c r="H56" s="115">
        <v>5108</v>
      </c>
      <c r="I56" s="115">
        <v>5107.3</v>
      </c>
      <c r="J56" s="116">
        <v>4786.3</v>
      </c>
      <c r="K56" s="168">
        <v>215</v>
      </c>
      <c r="L56" s="224">
        <v>1006229.6699999999</v>
      </c>
      <c r="M56" s="224">
        <v>0</v>
      </c>
      <c r="N56" s="224">
        <v>603737.8019999999</v>
      </c>
      <c r="O56" s="224">
        <v>201245.93399999998</v>
      </c>
      <c r="P56" s="224">
        <v>201245.93399999998</v>
      </c>
      <c r="Q56" s="103" t="s">
        <v>387</v>
      </c>
      <c r="R56" s="104" t="s">
        <v>303</v>
      </c>
      <c r="S56" s="109"/>
      <c r="T56" s="55" t="b">
        <f>L56='раздел 4'!C59</f>
        <v>1</v>
      </c>
      <c r="U56" s="55">
        <f>'раздел 4'!C59-раздел3!N56-раздел3!O56-раздел3!P56</f>
        <v>0</v>
      </c>
      <c r="V56" s="55">
        <f>L56-'раздел 4'!C59</f>
        <v>0</v>
      </c>
      <c r="Z56" s="212">
        <f t="shared" si="0"/>
        <v>0</v>
      </c>
    </row>
    <row r="57" spans="1:26" s="101" customFormat="1" ht="15" customHeight="1">
      <c r="A57" s="231">
        <f t="shared" si="12"/>
        <v>27</v>
      </c>
      <c r="B57" s="22" t="s">
        <v>172</v>
      </c>
      <c r="C57" s="114">
        <v>1976</v>
      </c>
      <c r="D57" s="114"/>
      <c r="E57" s="226" t="s">
        <v>24</v>
      </c>
      <c r="F57" s="168">
        <v>5</v>
      </c>
      <c r="G57" s="168">
        <v>5</v>
      </c>
      <c r="H57" s="115">
        <v>9317.38</v>
      </c>
      <c r="I57" s="115">
        <v>8611.57</v>
      </c>
      <c r="J57" s="116">
        <v>1563.34</v>
      </c>
      <c r="K57" s="168">
        <v>384</v>
      </c>
      <c r="L57" s="224">
        <f>'раздел 4'!C60</f>
        <v>1612403.9</v>
      </c>
      <c r="M57" s="224">
        <v>0</v>
      </c>
      <c r="N57" s="224">
        <v>967442.34</v>
      </c>
      <c r="O57" s="224">
        <v>322480.78</v>
      </c>
      <c r="P57" s="224">
        <f t="shared" si="13"/>
        <v>322480.7799999999</v>
      </c>
      <c r="Q57" s="103" t="s">
        <v>387</v>
      </c>
      <c r="R57" s="104" t="s">
        <v>303</v>
      </c>
      <c r="S57" s="109"/>
      <c r="T57" s="55" t="b">
        <f>L57='раздел 4'!C60</f>
        <v>1</v>
      </c>
      <c r="U57" s="55">
        <f>'раздел 4'!C60-раздел3!N57-раздел3!O57-раздел3!P57</f>
        <v>0</v>
      </c>
      <c r="V57" s="55">
        <f>L57-'раздел 4'!C60</f>
        <v>0</v>
      </c>
      <c r="Z57" s="212">
        <f t="shared" si="0"/>
        <v>0</v>
      </c>
    </row>
    <row r="58" spans="1:26" s="101" customFormat="1" ht="15" customHeight="1">
      <c r="A58" s="253" t="s">
        <v>60</v>
      </c>
      <c r="B58" s="253"/>
      <c r="C58" s="102" t="s">
        <v>33</v>
      </c>
      <c r="D58" s="102" t="s">
        <v>33</v>
      </c>
      <c r="E58" s="102" t="s">
        <v>33</v>
      </c>
      <c r="F58" s="102" t="s">
        <v>33</v>
      </c>
      <c r="G58" s="102" t="s">
        <v>33</v>
      </c>
      <c r="H58" s="224">
        <f aca="true" t="shared" si="14" ref="H58:P58">SUM(H42:H57)</f>
        <v>54721.38999999999</v>
      </c>
      <c r="I58" s="224">
        <f t="shared" si="14"/>
        <v>49337.28</v>
      </c>
      <c r="J58" s="224">
        <f t="shared" si="14"/>
        <v>35144.37</v>
      </c>
      <c r="K58" s="7">
        <f t="shared" si="14"/>
        <v>2245</v>
      </c>
      <c r="L58" s="224">
        <f>SUM(L42:L57)</f>
        <v>11950637.728999998</v>
      </c>
      <c r="M58" s="224">
        <f t="shared" si="14"/>
        <v>0</v>
      </c>
      <c r="N58" s="224">
        <f t="shared" si="14"/>
        <v>7170382.642082655</v>
      </c>
      <c r="O58" s="224">
        <f t="shared" si="14"/>
        <v>2390127.5439586723</v>
      </c>
      <c r="P58" s="224">
        <f t="shared" si="14"/>
        <v>2390127.542958672</v>
      </c>
      <c r="Q58" s="224" t="s">
        <v>33</v>
      </c>
      <c r="R58" s="102" t="s">
        <v>33</v>
      </c>
      <c r="S58" s="105">
        <f>L58-N58-O58-P58</f>
        <v>0</v>
      </c>
      <c r="T58" s="55" t="b">
        <f>L58='раздел 4'!C61</f>
        <v>1</v>
      </c>
      <c r="U58" s="55">
        <f>'раздел 4'!C61-раздел3!N58-раздел3!O58-раздел3!P58</f>
        <v>0</v>
      </c>
      <c r="V58" s="55">
        <f>L58-'раздел 4'!C61</f>
        <v>0</v>
      </c>
      <c r="Z58" s="212">
        <f t="shared" si="0"/>
        <v>0.0010000001639127731</v>
      </c>
    </row>
    <row r="59" spans="1:26" s="101" customFormat="1" ht="15" customHeight="1">
      <c r="A59" s="259" t="s">
        <v>248</v>
      </c>
      <c r="B59" s="259"/>
      <c r="C59" s="259"/>
      <c r="D59" s="102"/>
      <c r="E59" s="102"/>
      <c r="F59" s="102"/>
      <c r="G59" s="102"/>
      <c r="H59" s="224"/>
      <c r="I59" s="224"/>
      <c r="J59" s="224"/>
      <c r="K59" s="224"/>
      <c r="L59" s="224"/>
      <c r="M59" s="224"/>
      <c r="N59" s="224"/>
      <c r="O59" s="224"/>
      <c r="P59" s="224"/>
      <c r="Q59" s="231"/>
      <c r="R59" s="231"/>
      <c r="S59" s="109"/>
      <c r="T59" s="55" t="b">
        <f>L59='раздел 4'!C62</f>
        <v>1</v>
      </c>
      <c r="U59" s="55">
        <f>'раздел 4'!C62-раздел3!N59-раздел3!O59-раздел3!P59</f>
        <v>0</v>
      </c>
      <c r="V59" s="55">
        <f>L59-'раздел 4'!C62</f>
        <v>0</v>
      </c>
      <c r="W59" s="101" t="s">
        <v>199</v>
      </c>
      <c r="Z59" s="212">
        <f t="shared" si="0"/>
        <v>0</v>
      </c>
    </row>
    <row r="60" spans="1:26" s="101" customFormat="1" ht="15" customHeight="1">
      <c r="A60" s="231">
        <f>A57+1</f>
        <v>28</v>
      </c>
      <c r="B60" s="112" t="s">
        <v>190</v>
      </c>
      <c r="C60" s="107">
        <v>1976</v>
      </c>
      <c r="D60" s="107"/>
      <c r="E60" s="107" t="s">
        <v>35</v>
      </c>
      <c r="F60" s="107">
        <v>5</v>
      </c>
      <c r="G60" s="107">
        <v>4</v>
      </c>
      <c r="H60" s="167">
        <v>3794.1</v>
      </c>
      <c r="I60" s="167">
        <v>3794.1</v>
      </c>
      <c r="J60" s="167">
        <v>2039.22</v>
      </c>
      <c r="K60" s="118">
        <v>192</v>
      </c>
      <c r="L60" s="224">
        <v>526776.22</v>
      </c>
      <c r="M60" s="224">
        <v>0</v>
      </c>
      <c r="N60" s="224">
        <v>316065.72432000004</v>
      </c>
      <c r="O60" s="224">
        <v>105355.24784</v>
      </c>
      <c r="P60" s="224">
        <v>105355.24783999997</v>
      </c>
      <c r="Q60" s="103" t="s">
        <v>387</v>
      </c>
      <c r="R60" s="104" t="s">
        <v>303</v>
      </c>
      <c r="S60" s="109"/>
      <c r="T60" s="55" t="b">
        <f>L60='раздел 4'!C63</f>
        <v>1</v>
      </c>
      <c r="U60" s="55">
        <f>'раздел 4'!C63-раздел3!N60-раздел3!O60-раздел3!P60</f>
        <v>0</v>
      </c>
      <c r="V60" s="55">
        <f>L60-'раздел 4'!C63</f>
        <v>0</v>
      </c>
      <c r="Z60" s="212">
        <f t="shared" si="0"/>
        <v>0</v>
      </c>
    </row>
    <row r="61" spans="1:26" s="101" customFormat="1" ht="15" customHeight="1">
      <c r="A61" s="231">
        <f>A60+1</f>
        <v>29</v>
      </c>
      <c r="B61" s="112" t="s">
        <v>191</v>
      </c>
      <c r="C61" s="107">
        <v>1986</v>
      </c>
      <c r="D61" s="107"/>
      <c r="E61" s="107" t="s">
        <v>35</v>
      </c>
      <c r="F61" s="107">
        <v>5</v>
      </c>
      <c r="G61" s="107">
        <v>3</v>
      </c>
      <c r="H61" s="167">
        <v>3304.8</v>
      </c>
      <c r="I61" s="167">
        <v>3304.8</v>
      </c>
      <c r="J61" s="167">
        <v>2253.2</v>
      </c>
      <c r="K61" s="118">
        <v>173</v>
      </c>
      <c r="L61" s="224">
        <v>302723.58</v>
      </c>
      <c r="M61" s="224">
        <v>0</v>
      </c>
      <c r="N61" s="224">
        <v>181634.15184000004</v>
      </c>
      <c r="O61" s="224">
        <v>60544.71407999999</v>
      </c>
      <c r="P61" s="224">
        <v>60544.71407999999</v>
      </c>
      <c r="Q61" s="103" t="s">
        <v>387</v>
      </c>
      <c r="R61" s="104" t="s">
        <v>303</v>
      </c>
      <c r="S61" s="109"/>
      <c r="T61" s="55" t="b">
        <f>L61='раздел 4'!C64</f>
        <v>1</v>
      </c>
      <c r="U61" s="55">
        <f>'раздел 4'!C64-раздел3!N61-раздел3!O61-раздел3!P61</f>
        <v>0</v>
      </c>
      <c r="V61" s="55">
        <f>L61-'раздел 4'!C64</f>
        <v>0</v>
      </c>
      <c r="Z61" s="212">
        <f t="shared" si="0"/>
        <v>0</v>
      </c>
    </row>
    <row r="62" spans="1:26" s="101" customFormat="1" ht="15" customHeight="1">
      <c r="A62" s="231">
        <f>A61+1</f>
        <v>30</v>
      </c>
      <c r="B62" s="112" t="s">
        <v>192</v>
      </c>
      <c r="C62" s="107">
        <v>1984</v>
      </c>
      <c r="D62" s="107"/>
      <c r="E62" s="107" t="s">
        <v>291</v>
      </c>
      <c r="F62" s="107">
        <v>3</v>
      </c>
      <c r="G62" s="107">
        <v>3</v>
      </c>
      <c r="H62" s="167">
        <v>1268.1</v>
      </c>
      <c r="I62" s="167">
        <v>1268.1</v>
      </c>
      <c r="J62" s="167">
        <v>742.7</v>
      </c>
      <c r="K62" s="118">
        <v>92</v>
      </c>
      <c r="L62" s="224">
        <v>561302.39</v>
      </c>
      <c r="M62" s="224">
        <v>0</v>
      </c>
      <c r="N62" s="224">
        <v>336781.42631999985</v>
      </c>
      <c r="O62" s="224">
        <v>112260.48184000007</v>
      </c>
      <c r="P62" s="224">
        <v>112260.48184000007</v>
      </c>
      <c r="Q62" s="103" t="s">
        <v>387</v>
      </c>
      <c r="R62" s="104" t="s">
        <v>303</v>
      </c>
      <c r="S62" s="109"/>
      <c r="T62" s="55" t="b">
        <f>L62='раздел 4'!C65</f>
        <v>1</v>
      </c>
      <c r="U62" s="55">
        <f>'раздел 4'!C65-раздел3!N62-раздел3!O62-раздел3!P62</f>
        <v>0</v>
      </c>
      <c r="V62" s="55">
        <f>L62-'раздел 4'!C65</f>
        <v>0</v>
      </c>
      <c r="Z62" s="212">
        <f t="shared" si="0"/>
        <v>0</v>
      </c>
    </row>
    <row r="63" spans="1:26" s="101" customFormat="1" ht="15" customHeight="1">
      <c r="A63" s="231">
        <f>A62+1</f>
        <v>31</v>
      </c>
      <c r="B63" s="112" t="s">
        <v>193</v>
      </c>
      <c r="C63" s="107">
        <v>1987</v>
      </c>
      <c r="D63" s="107"/>
      <c r="E63" s="107" t="s">
        <v>35</v>
      </c>
      <c r="F63" s="107">
        <v>5</v>
      </c>
      <c r="G63" s="107">
        <v>3</v>
      </c>
      <c r="H63" s="167">
        <v>3600</v>
      </c>
      <c r="I63" s="167">
        <v>3600</v>
      </c>
      <c r="J63" s="167">
        <v>2285.1</v>
      </c>
      <c r="K63" s="118">
        <v>161</v>
      </c>
      <c r="L63" s="224">
        <v>1005596.14</v>
      </c>
      <c r="M63" s="224">
        <v>0</v>
      </c>
      <c r="N63" s="224">
        <v>603357.67632</v>
      </c>
      <c r="O63" s="224">
        <v>201119.23184000002</v>
      </c>
      <c r="P63" s="224">
        <v>201119.23184000002</v>
      </c>
      <c r="Q63" s="103" t="s">
        <v>387</v>
      </c>
      <c r="R63" s="104" t="s">
        <v>303</v>
      </c>
      <c r="S63" s="105">
        <f>L63-N63-O63-P63</f>
        <v>0</v>
      </c>
      <c r="T63" s="55" t="b">
        <f>L63='раздел 4'!C66</f>
        <v>1</v>
      </c>
      <c r="U63" s="55">
        <f>'раздел 4'!C66-раздел3!N63-раздел3!O63-раздел3!P63</f>
        <v>0</v>
      </c>
      <c r="V63" s="55">
        <f>L63-'раздел 4'!C66</f>
        <v>0</v>
      </c>
      <c r="Z63" s="212">
        <f t="shared" si="0"/>
        <v>0</v>
      </c>
    </row>
    <row r="64" spans="1:26" s="101" customFormat="1" ht="15" customHeight="1">
      <c r="A64" s="253" t="s">
        <v>60</v>
      </c>
      <c r="B64" s="253"/>
      <c r="C64" s="102" t="s">
        <v>33</v>
      </c>
      <c r="D64" s="102" t="s">
        <v>33</v>
      </c>
      <c r="E64" s="102" t="s">
        <v>33</v>
      </c>
      <c r="F64" s="102" t="s">
        <v>33</v>
      </c>
      <c r="G64" s="102" t="s">
        <v>33</v>
      </c>
      <c r="H64" s="224">
        <f aca="true" t="shared" si="15" ref="H64:P64">SUM(H60:H63)</f>
        <v>11967</v>
      </c>
      <c r="I64" s="224">
        <f t="shared" si="15"/>
        <v>11967</v>
      </c>
      <c r="J64" s="224">
        <f t="shared" si="15"/>
        <v>7320.219999999999</v>
      </c>
      <c r="K64" s="54">
        <f t="shared" si="15"/>
        <v>618</v>
      </c>
      <c r="L64" s="224">
        <f>SUM(L60:L63)</f>
        <v>2396398.33</v>
      </c>
      <c r="M64" s="224">
        <f t="shared" si="15"/>
        <v>0</v>
      </c>
      <c r="N64" s="224">
        <f t="shared" si="15"/>
        <v>1437838.9788</v>
      </c>
      <c r="O64" s="224">
        <f t="shared" si="15"/>
        <v>479279.6756000001</v>
      </c>
      <c r="P64" s="224">
        <f t="shared" si="15"/>
        <v>479279.6756000001</v>
      </c>
      <c r="Q64" s="224" t="s">
        <v>33</v>
      </c>
      <c r="R64" s="102" t="s">
        <v>33</v>
      </c>
      <c r="S64" s="105">
        <f>L64-N64-O64-P64</f>
        <v>0</v>
      </c>
      <c r="T64" s="55" t="b">
        <f>L64='раздел 4'!C67</f>
        <v>1</v>
      </c>
      <c r="U64" s="55">
        <f>'раздел 4'!C67-раздел3!N64-раздел3!O64-раздел3!P64</f>
        <v>0</v>
      </c>
      <c r="V64" s="55">
        <f>L64-'раздел 4'!C67</f>
        <v>0</v>
      </c>
      <c r="Z64" s="212">
        <f t="shared" si="0"/>
        <v>0</v>
      </c>
    </row>
    <row r="65" spans="1:26" s="101" customFormat="1" ht="15" customHeight="1">
      <c r="A65" s="259" t="s">
        <v>249</v>
      </c>
      <c r="B65" s="259"/>
      <c r="C65" s="259"/>
      <c r="D65" s="119"/>
      <c r="E65" s="119"/>
      <c r="F65" s="119"/>
      <c r="G65" s="119"/>
      <c r="H65" s="120"/>
      <c r="I65" s="120"/>
      <c r="J65" s="120"/>
      <c r="K65" s="120"/>
      <c r="L65" s="224"/>
      <c r="M65" s="224"/>
      <c r="N65" s="224"/>
      <c r="O65" s="224"/>
      <c r="P65" s="224"/>
      <c r="Q65" s="231"/>
      <c r="R65" s="231"/>
      <c r="S65" s="109"/>
      <c r="T65" s="55" t="b">
        <f>L65='раздел 4'!C68</f>
        <v>1</v>
      </c>
      <c r="U65" s="55">
        <f>'раздел 4'!C68-раздел3!N65-раздел3!O65-раздел3!P65</f>
        <v>0</v>
      </c>
      <c r="V65" s="55">
        <f>L65-'раздел 4'!C68</f>
        <v>0</v>
      </c>
      <c r="W65" s="101" t="s">
        <v>187</v>
      </c>
      <c r="Z65" s="212">
        <f t="shared" si="0"/>
        <v>0</v>
      </c>
    </row>
    <row r="66" spans="1:26" s="101" customFormat="1" ht="15" customHeight="1">
      <c r="A66" s="231">
        <f>A63+1</f>
        <v>32</v>
      </c>
      <c r="B66" s="112" t="s">
        <v>200</v>
      </c>
      <c r="C66" s="8">
        <v>1963</v>
      </c>
      <c r="D66" s="102"/>
      <c r="E66" s="102" t="s">
        <v>131</v>
      </c>
      <c r="F66" s="8">
        <v>4</v>
      </c>
      <c r="G66" s="8">
        <v>4</v>
      </c>
      <c r="H66" s="224">
        <v>2526</v>
      </c>
      <c r="I66" s="224">
        <v>2526</v>
      </c>
      <c r="J66" s="224">
        <v>2326.48</v>
      </c>
      <c r="K66" s="54">
        <v>98</v>
      </c>
      <c r="L66" s="224">
        <f>'раздел 4'!C69</f>
        <v>311436.33</v>
      </c>
      <c r="M66" s="224">
        <v>0</v>
      </c>
      <c r="N66" s="224">
        <v>186861.79</v>
      </c>
      <c r="O66" s="224">
        <v>62287.27</v>
      </c>
      <c r="P66" s="224">
        <f aca="true" t="shared" si="16" ref="P66:P72">L66-N66-O66</f>
        <v>62287.27000000001</v>
      </c>
      <c r="Q66" s="103" t="s">
        <v>387</v>
      </c>
      <c r="R66" s="104" t="s">
        <v>303</v>
      </c>
      <c r="S66" s="109"/>
      <c r="T66" s="55" t="b">
        <f>L66='раздел 4'!C69</f>
        <v>1</v>
      </c>
      <c r="U66" s="55">
        <f>'раздел 4'!C69-раздел3!N66-раздел3!O66-раздел3!P66</f>
        <v>0</v>
      </c>
      <c r="V66" s="55">
        <f>L66-'раздел 4'!C69</f>
        <v>0</v>
      </c>
      <c r="Z66" s="212">
        <f t="shared" si="0"/>
        <v>0</v>
      </c>
    </row>
    <row r="67" spans="1:26" s="101" customFormat="1" ht="15" customHeight="1">
      <c r="A67" s="231">
        <f aca="true" t="shared" si="17" ref="A67:A72">A66+1</f>
        <v>33</v>
      </c>
      <c r="B67" s="112" t="s">
        <v>201</v>
      </c>
      <c r="C67" s="8">
        <v>1976</v>
      </c>
      <c r="D67" s="102"/>
      <c r="E67" s="102" t="s">
        <v>304</v>
      </c>
      <c r="F67" s="8">
        <v>5</v>
      </c>
      <c r="G67" s="8">
        <v>6</v>
      </c>
      <c r="H67" s="224">
        <v>4391.2</v>
      </c>
      <c r="I67" s="224">
        <v>4391.2</v>
      </c>
      <c r="J67" s="224">
        <v>3849.28</v>
      </c>
      <c r="K67" s="54">
        <v>212</v>
      </c>
      <c r="L67" s="224">
        <v>375568.08</v>
      </c>
      <c r="M67" s="224">
        <v>0</v>
      </c>
      <c r="N67" s="224">
        <v>225340.848</v>
      </c>
      <c r="O67" s="224">
        <v>75113.61600000001</v>
      </c>
      <c r="P67" s="224">
        <v>75113.61600000001</v>
      </c>
      <c r="Q67" s="103" t="s">
        <v>387</v>
      </c>
      <c r="R67" s="104" t="s">
        <v>303</v>
      </c>
      <c r="S67" s="109"/>
      <c r="T67" s="55" t="b">
        <f>L67='раздел 4'!C70</f>
        <v>1</v>
      </c>
      <c r="U67" s="55">
        <f>'раздел 4'!C70-раздел3!N67-раздел3!O67-раздел3!P67</f>
        <v>0</v>
      </c>
      <c r="V67" s="55">
        <f>L67-'раздел 4'!C70</f>
        <v>0</v>
      </c>
      <c r="Z67" s="212">
        <f t="shared" si="0"/>
        <v>0</v>
      </c>
    </row>
    <row r="68" spans="1:26" s="101" customFormat="1" ht="15" customHeight="1">
      <c r="A68" s="231">
        <f t="shared" si="17"/>
        <v>34</v>
      </c>
      <c r="B68" s="121" t="s">
        <v>194</v>
      </c>
      <c r="C68" s="8">
        <v>1964</v>
      </c>
      <c r="D68" s="102"/>
      <c r="E68" s="102" t="s">
        <v>131</v>
      </c>
      <c r="F68" s="8">
        <v>2</v>
      </c>
      <c r="G68" s="8">
        <v>2</v>
      </c>
      <c r="H68" s="224">
        <v>640.1</v>
      </c>
      <c r="I68" s="224">
        <v>640.1</v>
      </c>
      <c r="J68" s="224">
        <v>597.4</v>
      </c>
      <c r="K68" s="54">
        <v>22</v>
      </c>
      <c r="L68" s="224">
        <f>'раздел 4'!C71</f>
        <v>180063.36</v>
      </c>
      <c r="M68" s="224">
        <v>0</v>
      </c>
      <c r="N68" s="224">
        <v>108038.02</v>
      </c>
      <c r="O68" s="224">
        <v>36012.67</v>
      </c>
      <c r="P68" s="224">
        <f t="shared" si="16"/>
        <v>36012.669999999984</v>
      </c>
      <c r="Q68" s="103" t="s">
        <v>387</v>
      </c>
      <c r="R68" s="104" t="s">
        <v>303</v>
      </c>
      <c r="S68" s="109"/>
      <c r="T68" s="55" t="b">
        <f>L68='раздел 4'!C71</f>
        <v>1</v>
      </c>
      <c r="U68" s="55">
        <f>'раздел 4'!C71-раздел3!N68-раздел3!O68-раздел3!P68</f>
        <v>0</v>
      </c>
      <c r="V68" s="55">
        <f>L68-'раздел 4'!C71</f>
        <v>0</v>
      </c>
      <c r="Z68" s="212">
        <f t="shared" si="0"/>
        <v>0</v>
      </c>
    </row>
    <row r="69" spans="1:26" s="101" customFormat="1" ht="15" customHeight="1">
      <c r="A69" s="231">
        <f t="shared" si="17"/>
        <v>35</v>
      </c>
      <c r="B69" s="121" t="s">
        <v>195</v>
      </c>
      <c r="C69" s="8">
        <v>1982</v>
      </c>
      <c r="D69" s="102"/>
      <c r="E69" s="102" t="s">
        <v>305</v>
      </c>
      <c r="F69" s="8">
        <v>5</v>
      </c>
      <c r="G69" s="8">
        <v>6</v>
      </c>
      <c r="H69" s="224">
        <v>4854.5</v>
      </c>
      <c r="I69" s="224">
        <v>4854.5</v>
      </c>
      <c r="J69" s="224">
        <v>4565.2</v>
      </c>
      <c r="K69" s="54">
        <v>169</v>
      </c>
      <c r="L69" s="224">
        <f>'раздел 4'!C72</f>
        <v>470523.95</v>
      </c>
      <c r="M69" s="224">
        <v>0</v>
      </c>
      <c r="N69" s="224">
        <v>282314.37</v>
      </c>
      <c r="O69" s="224">
        <v>94104.79</v>
      </c>
      <c r="P69" s="224">
        <f t="shared" si="16"/>
        <v>94104.79000000002</v>
      </c>
      <c r="Q69" s="103" t="s">
        <v>387</v>
      </c>
      <c r="R69" s="104" t="s">
        <v>303</v>
      </c>
      <c r="S69" s="109"/>
      <c r="T69" s="55" t="b">
        <f>L69='раздел 4'!C72</f>
        <v>1</v>
      </c>
      <c r="U69" s="55">
        <f>'раздел 4'!C72-раздел3!N69-раздел3!O69-раздел3!P69</f>
        <v>0</v>
      </c>
      <c r="V69" s="55">
        <f>L69-'раздел 4'!C72</f>
        <v>0</v>
      </c>
      <c r="Z69" s="212">
        <f t="shared" si="0"/>
        <v>0</v>
      </c>
    </row>
    <row r="70" spans="1:26" s="101" customFormat="1" ht="15" customHeight="1">
      <c r="A70" s="231">
        <f t="shared" si="17"/>
        <v>36</v>
      </c>
      <c r="B70" s="121" t="s">
        <v>196</v>
      </c>
      <c r="C70" s="8">
        <v>1982</v>
      </c>
      <c r="D70" s="102"/>
      <c r="E70" s="102" t="s">
        <v>29</v>
      </c>
      <c r="F70" s="8">
        <v>5</v>
      </c>
      <c r="G70" s="8">
        <v>7</v>
      </c>
      <c r="H70" s="224">
        <v>5708.5</v>
      </c>
      <c r="I70" s="224">
        <v>5708.5</v>
      </c>
      <c r="J70" s="224">
        <v>4909.1</v>
      </c>
      <c r="K70" s="54">
        <v>241</v>
      </c>
      <c r="L70" s="224">
        <v>470523.95</v>
      </c>
      <c r="M70" s="224">
        <v>0</v>
      </c>
      <c r="N70" s="224">
        <v>282314.37</v>
      </c>
      <c r="O70" s="224">
        <v>94104.79000000001</v>
      </c>
      <c r="P70" s="224">
        <v>94104.79000000004</v>
      </c>
      <c r="Q70" s="103" t="s">
        <v>387</v>
      </c>
      <c r="R70" s="104" t="s">
        <v>303</v>
      </c>
      <c r="S70" s="109"/>
      <c r="T70" s="55" t="b">
        <f>L70='раздел 4'!C73</f>
        <v>1</v>
      </c>
      <c r="U70" s="55">
        <f>'раздел 4'!C73-раздел3!N70-раздел3!O70-раздел3!P70</f>
        <v>0</v>
      </c>
      <c r="V70" s="55">
        <f>L70-'раздел 4'!C73</f>
        <v>0</v>
      </c>
      <c r="Z70" s="212">
        <f t="shared" si="0"/>
        <v>0</v>
      </c>
    </row>
    <row r="71" spans="1:26" s="101" customFormat="1" ht="15" customHeight="1">
      <c r="A71" s="231">
        <f t="shared" si="17"/>
        <v>37</v>
      </c>
      <c r="B71" s="121" t="s">
        <v>197</v>
      </c>
      <c r="C71" s="8">
        <v>1969</v>
      </c>
      <c r="D71" s="102"/>
      <c r="E71" s="102" t="s">
        <v>29</v>
      </c>
      <c r="F71" s="8">
        <v>5</v>
      </c>
      <c r="G71" s="8">
        <v>4</v>
      </c>
      <c r="H71" s="224">
        <v>3957.71</v>
      </c>
      <c r="I71" s="224">
        <v>3957.71</v>
      </c>
      <c r="J71" s="224">
        <v>3230.31</v>
      </c>
      <c r="K71" s="54">
        <v>161</v>
      </c>
      <c r="L71" s="224">
        <f>'раздел 4'!C74</f>
        <v>322007.71</v>
      </c>
      <c r="M71" s="224">
        <v>0</v>
      </c>
      <c r="N71" s="224">
        <v>193204.63</v>
      </c>
      <c r="O71" s="224">
        <v>64401.54</v>
      </c>
      <c r="P71" s="224">
        <f t="shared" si="16"/>
        <v>64401.540000000015</v>
      </c>
      <c r="Q71" s="103" t="s">
        <v>387</v>
      </c>
      <c r="R71" s="104" t="s">
        <v>303</v>
      </c>
      <c r="S71" s="109"/>
      <c r="T71" s="55" t="b">
        <f>L71='раздел 4'!C74</f>
        <v>1</v>
      </c>
      <c r="U71" s="55">
        <f>'раздел 4'!C74-раздел3!N71-раздел3!O71-раздел3!P71</f>
        <v>0</v>
      </c>
      <c r="V71" s="55">
        <f>L71-'раздел 4'!C74</f>
        <v>0</v>
      </c>
      <c r="Z71" s="212">
        <f t="shared" si="0"/>
        <v>0</v>
      </c>
    </row>
    <row r="72" spans="1:26" s="101" customFormat="1" ht="15" customHeight="1">
      <c r="A72" s="231">
        <f t="shared" si="17"/>
        <v>38</v>
      </c>
      <c r="B72" s="121" t="s">
        <v>198</v>
      </c>
      <c r="C72" s="8">
        <v>1977</v>
      </c>
      <c r="D72" s="102"/>
      <c r="E72" s="102" t="s">
        <v>29</v>
      </c>
      <c r="F72" s="8">
        <v>5</v>
      </c>
      <c r="G72" s="8">
        <v>5</v>
      </c>
      <c r="H72" s="224">
        <v>5209.32</v>
      </c>
      <c r="I72" s="224">
        <v>5209.32</v>
      </c>
      <c r="J72" s="224">
        <v>4479.22</v>
      </c>
      <c r="K72" s="54">
        <v>205</v>
      </c>
      <c r="L72" s="224">
        <f>'раздел 4'!C75</f>
        <v>397603.11</v>
      </c>
      <c r="M72" s="224">
        <v>0</v>
      </c>
      <c r="N72" s="224">
        <v>238561.87</v>
      </c>
      <c r="O72" s="224">
        <v>79520.62</v>
      </c>
      <c r="P72" s="224">
        <f t="shared" si="16"/>
        <v>79520.62</v>
      </c>
      <c r="Q72" s="103" t="s">
        <v>387</v>
      </c>
      <c r="R72" s="104" t="s">
        <v>303</v>
      </c>
      <c r="S72" s="109"/>
      <c r="T72" s="55" t="b">
        <f>L72='раздел 4'!C75</f>
        <v>1</v>
      </c>
      <c r="U72" s="55">
        <f>'раздел 4'!C75-раздел3!N72-раздел3!O72-раздел3!P72</f>
        <v>0</v>
      </c>
      <c r="V72" s="55">
        <f>L72-'раздел 4'!C75</f>
        <v>0</v>
      </c>
      <c r="Z72" s="212">
        <f t="shared" si="0"/>
        <v>0</v>
      </c>
    </row>
    <row r="73" spans="1:26" s="101" customFormat="1" ht="15" customHeight="1">
      <c r="A73" s="253" t="s">
        <v>60</v>
      </c>
      <c r="B73" s="253"/>
      <c r="C73" s="102" t="s">
        <v>33</v>
      </c>
      <c r="D73" s="102" t="s">
        <v>33</v>
      </c>
      <c r="E73" s="102" t="s">
        <v>33</v>
      </c>
      <c r="F73" s="102" t="s">
        <v>33</v>
      </c>
      <c r="G73" s="102" t="s">
        <v>33</v>
      </c>
      <c r="H73" s="224">
        <f aca="true" t="shared" si="18" ref="H73:P73">SUM(H66:H72)</f>
        <v>27287.329999999998</v>
      </c>
      <c r="I73" s="224">
        <f t="shared" si="18"/>
        <v>27287.329999999998</v>
      </c>
      <c r="J73" s="224">
        <f t="shared" si="18"/>
        <v>23956.99</v>
      </c>
      <c r="K73" s="54">
        <f t="shared" si="18"/>
        <v>1108</v>
      </c>
      <c r="L73" s="224">
        <f>SUM(L66:L72)</f>
        <v>2527726.4899999998</v>
      </c>
      <c r="M73" s="224">
        <f t="shared" si="18"/>
        <v>0</v>
      </c>
      <c r="N73" s="224">
        <f t="shared" si="18"/>
        <v>1516635.898</v>
      </c>
      <c r="O73" s="224">
        <f t="shared" si="18"/>
        <v>505545.2959999999</v>
      </c>
      <c r="P73" s="224">
        <f t="shared" si="18"/>
        <v>505545.2960000001</v>
      </c>
      <c r="Q73" s="224" t="s">
        <v>33</v>
      </c>
      <c r="R73" s="102" t="s">
        <v>33</v>
      </c>
      <c r="S73" s="105">
        <f>L73-N73-O73-P73</f>
        <v>0</v>
      </c>
      <c r="T73" s="55" t="b">
        <f>L73='раздел 4'!C76</f>
        <v>1</v>
      </c>
      <c r="U73" s="55">
        <f>'раздел 4'!C76-раздел3!N73-раздел3!O73-раздел3!P73</f>
        <v>0</v>
      </c>
      <c r="V73" s="55">
        <f>L73-'раздел 4'!C76</f>
        <v>0</v>
      </c>
      <c r="Z73" s="212">
        <f t="shared" si="0"/>
        <v>0</v>
      </c>
    </row>
    <row r="74" spans="1:26" s="101" customFormat="1" ht="15" customHeight="1">
      <c r="A74" s="264" t="s">
        <v>294</v>
      </c>
      <c r="B74" s="265"/>
      <c r="C74" s="266"/>
      <c r="D74" s="102"/>
      <c r="E74" s="102"/>
      <c r="F74" s="102"/>
      <c r="G74" s="102"/>
      <c r="H74" s="224"/>
      <c r="I74" s="224"/>
      <c r="J74" s="224"/>
      <c r="K74" s="54"/>
      <c r="L74" s="16"/>
      <c r="M74" s="16"/>
      <c r="N74" s="16"/>
      <c r="O74" s="16"/>
      <c r="P74" s="16"/>
      <c r="Q74" s="103"/>
      <c r="R74" s="231"/>
      <c r="S74" s="105"/>
      <c r="T74" s="55" t="b">
        <f>L74='раздел 4'!C77</f>
        <v>1</v>
      </c>
      <c r="U74" s="55">
        <f>'раздел 4'!C77-раздел3!N74-раздел3!O74-раздел3!P74</f>
        <v>0</v>
      </c>
      <c r="V74" s="55">
        <f>L74-'раздел 4'!C77</f>
        <v>0</v>
      </c>
      <c r="Z74" s="212">
        <f aca="true" t="shared" si="19" ref="Z74:Z137">O74-P74</f>
        <v>0</v>
      </c>
    </row>
    <row r="75" spans="1:26" s="101" customFormat="1" ht="15" customHeight="1">
      <c r="A75" s="54">
        <f>A72+1</f>
        <v>39</v>
      </c>
      <c r="B75" s="122" t="s">
        <v>295</v>
      </c>
      <c r="C75" s="14">
        <v>1976</v>
      </c>
      <c r="D75" s="102"/>
      <c r="E75" s="102" t="s">
        <v>302</v>
      </c>
      <c r="F75" s="14">
        <v>2</v>
      </c>
      <c r="G75" s="14">
        <v>2</v>
      </c>
      <c r="H75" s="224">
        <v>795.74</v>
      </c>
      <c r="I75" s="224">
        <v>795.74</v>
      </c>
      <c r="J75" s="224">
        <v>545.81</v>
      </c>
      <c r="K75" s="54">
        <v>39</v>
      </c>
      <c r="L75" s="224">
        <v>236936.81</v>
      </c>
      <c r="M75" s="224">
        <v>0</v>
      </c>
      <c r="N75" s="224">
        <v>142162.0783200001</v>
      </c>
      <c r="O75" s="224">
        <v>47387.365839999955</v>
      </c>
      <c r="P75" s="224">
        <v>47387.365839999955</v>
      </c>
      <c r="Q75" s="103" t="s">
        <v>387</v>
      </c>
      <c r="R75" s="104" t="s">
        <v>303</v>
      </c>
      <c r="S75" s="105"/>
      <c r="T75" s="55" t="b">
        <f>L75='раздел 4'!C78</f>
        <v>1</v>
      </c>
      <c r="U75" s="55">
        <f>'раздел 4'!C78-раздел3!N75-раздел3!O75-раздел3!P75</f>
        <v>0</v>
      </c>
      <c r="V75" s="55">
        <f>L75-'раздел 4'!C78</f>
        <v>0</v>
      </c>
      <c r="Z75" s="212">
        <f t="shared" si="19"/>
        <v>0</v>
      </c>
    </row>
    <row r="76" spans="1:26" s="101" customFormat="1" ht="15" customHeight="1">
      <c r="A76" s="54">
        <f>A75+1</f>
        <v>40</v>
      </c>
      <c r="B76" s="122" t="s">
        <v>296</v>
      </c>
      <c r="C76" s="14">
        <v>1991</v>
      </c>
      <c r="D76" s="102"/>
      <c r="E76" s="102" t="s">
        <v>26</v>
      </c>
      <c r="F76" s="14">
        <v>3</v>
      </c>
      <c r="G76" s="14">
        <v>2</v>
      </c>
      <c r="H76" s="224">
        <v>1250.6</v>
      </c>
      <c r="I76" s="224">
        <v>1250.6</v>
      </c>
      <c r="J76" s="224">
        <v>865.86</v>
      </c>
      <c r="K76" s="54">
        <v>71</v>
      </c>
      <c r="L76" s="224">
        <v>298513.42</v>
      </c>
      <c r="M76" s="224">
        <v>0</v>
      </c>
      <c r="N76" s="224">
        <v>179108.04432000004</v>
      </c>
      <c r="O76" s="224">
        <v>59702.68784</v>
      </c>
      <c r="P76" s="224">
        <v>59702.68783999996</v>
      </c>
      <c r="Q76" s="103" t="s">
        <v>387</v>
      </c>
      <c r="R76" s="104" t="s">
        <v>303</v>
      </c>
      <c r="S76" s="105"/>
      <c r="T76" s="55" t="b">
        <f>L76='раздел 4'!C79</f>
        <v>1</v>
      </c>
      <c r="U76" s="55">
        <f>'раздел 4'!C79-раздел3!N76-раздел3!O76-раздел3!P76</f>
        <v>0</v>
      </c>
      <c r="V76" s="55">
        <f>L76-'раздел 4'!C79</f>
        <v>0</v>
      </c>
      <c r="Z76" s="212">
        <f t="shared" si="19"/>
        <v>0</v>
      </c>
    </row>
    <row r="77" spans="1:26" s="101" customFormat="1" ht="15" customHeight="1">
      <c r="A77" s="54">
        <f>A76+1</f>
        <v>41</v>
      </c>
      <c r="B77" s="122" t="s">
        <v>297</v>
      </c>
      <c r="C77" s="14">
        <v>1979</v>
      </c>
      <c r="D77" s="102"/>
      <c r="E77" s="107" t="s">
        <v>35</v>
      </c>
      <c r="F77" s="14">
        <v>3</v>
      </c>
      <c r="G77" s="14">
        <v>2</v>
      </c>
      <c r="H77" s="224">
        <v>1315</v>
      </c>
      <c r="I77" s="224">
        <v>1315</v>
      </c>
      <c r="J77" s="224">
        <v>774.02</v>
      </c>
      <c r="K77" s="54">
        <v>76</v>
      </c>
      <c r="L77" s="224">
        <v>259238.84999999998</v>
      </c>
      <c r="M77" s="224">
        <v>0</v>
      </c>
      <c r="N77" s="224">
        <v>155543.303330436</v>
      </c>
      <c r="O77" s="224">
        <v>51847.77333478201</v>
      </c>
      <c r="P77" s="224">
        <v>51847.77333478198</v>
      </c>
      <c r="Q77" s="103" t="s">
        <v>387</v>
      </c>
      <c r="R77" s="104" t="s">
        <v>303</v>
      </c>
      <c r="S77" s="105"/>
      <c r="T77" s="55" t="b">
        <f>L77='раздел 4'!C80</f>
        <v>1</v>
      </c>
      <c r="U77" s="55">
        <f>'раздел 4'!C80-раздел3!N77-раздел3!O77-раздел3!P77</f>
        <v>0</v>
      </c>
      <c r="V77" s="55">
        <f>L77-'раздел 4'!C80</f>
        <v>0</v>
      </c>
      <c r="Z77" s="212">
        <f t="shared" si="19"/>
        <v>0</v>
      </c>
    </row>
    <row r="78" spans="1:26" s="101" customFormat="1" ht="15" customHeight="1">
      <c r="A78" s="54">
        <f>A77+1</f>
        <v>42</v>
      </c>
      <c r="B78" s="122" t="s">
        <v>298</v>
      </c>
      <c r="C78" s="14">
        <v>1977</v>
      </c>
      <c r="D78" s="102"/>
      <c r="E78" s="107" t="s">
        <v>35</v>
      </c>
      <c r="F78" s="14">
        <v>5</v>
      </c>
      <c r="G78" s="14">
        <v>4</v>
      </c>
      <c r="H78" s="224">
        <v>3479.4</v>
      </c>
      <c r="I78" s="224">
        <v>3479.4</v>
      </c>
      <c r="J78" s="224">
        <v>2008.2</v>
      </c>
      <c r="K78" s="54">
        <v>163</v>
      </c>
      <c r="L78" s="224">
        <v>565961.65</v>
      </c>
      <c r="M78" s="224">
        <v>0</v>
      </c>
      <c r="N78" s="224">
        <v>339576.99</v>
      </c>
      <c r="O78" s="224">
        <v>113192.33</v>
      </c>
      <c r="P78" s="224">
        <v>113192.33000000003</v>
      </c>
      <c r="Q78" s="103" t="s">
        <v>387</v>
      </c>
      <c r="R78" s="104" t="s">
        <v>303</v>
      </c>
      <c r="S78" s="105"/>
      <c r="T78" s="55" t="b">
        <f>L78='раздел 4'!C81</f>
        <v>1</v>
      </c>
      <c r="U78" s="55">
        <f>'раздел 4'!C81-раздел3!N78-раздел3!O78-раздел3!P78</f>
        <v>0</v>
      </c>
      <c r="V78" s="55">
        <f>L78-'раздел 4'!C81</f>
        <v>0</v>
      </c>
      <c r="Z78" s="212">
        <f t="shared" si="19"/>
        <v>0</v>
      </c>
    </row>
    <row r="79" spans="1:26" s="101" customFormat="1" ht="15" customHeight="1">
      <c r="A79" s="54">
        <f>A78+1</f>
        <v>43</v>
      </c>
      <c r="B79" s="122" t="s">
        <v>299</v>
      </c>
      <c r="C79" s="14">
        <v>1978</v>
      </c>
      <c r="D79" s="102"/>
      <c r="E79" s="102" t="s">
        <v>26</v>
      </c>
      <c r="F79" s="8">
        <v>2</v>
      </c>
      <c r="G79" s="8">
        <v>2</v>
      </c>
      <c r="H79" s="224">
        <v>1780.2</v>
      </c>
      <c r="I79" s="224">
        <v>1780.2</v>
      </c>
      <c r="J79" s="224">
        <v>904.8</v>
      </c>
      <c r="K79" s="54">
        <v>49</v>
      </c>
      <c r="L79" s="224">
        <v>271379.89</v>
      </c>
      <c r="M79" s="224">
        <v>0</v>
      </c>
      <c r="N79" s="224">
        <v>162827.93</v>
      </c>
      <c r="O79" s="224">
        <v>54275.98</v>
      </c>
      <c r="P79" s="224">
        <v>54275.98000000002</v>
      </c>
      <c r="Q79" s="103" t="s">
        <v>387</v>
      </c>
      <c r="R79" s="104" t="s">
        <v>303</v>
      </c>
      <c r="S79" s="105"/>
      <c r="T79" s="55" t="b">
        <f>L79='раздел 4'!C82</f>
        <v>1</v>
      </c>
      <c r="U79" s="55">
        <f>'раздел 4'!C82-раздел3!N79-раздел3!O79-раздел3!P79</f>
        <v>0</v>
      </c>
      <c r="V79" s="55">
        <f>L79-'раздел 4'!C82</f>
        <v>0</v>
      </c>
      <c r="Z79" s="212">
        <f t="shared" si="19"/>
        <v>0</v>
      </c>
    </row>
    <row r="80" spans="1:26" s="101" customFormat="1" ht="15" customHeight="1">
      <c r="A80" s="274" t="s">
        <v>60</v>
      </c>
      <c r="B80" s="274"/>
      <c r="C80" s="102" t="s">
        <v>33</v>
      </c>
      <c r="D80" s="102" t="s">
        <v>33</v>
      </c>
      <c r="E80" s="102" t="s">
        <v>33</v>
      </c>
      <c r="F80" s="102" t="s">
        <v>33</v>
      </c>
      <c r="G80" s="102" t="s">
        <v>33</v>
      </c>
      <c r="H80" s="224">
        <f aca="true" t="shared" si="20" ref="H80:P80">SUM(H75:H79)</f>
        <v>8620.94</v>
      </c>
      <c r="I80" s="224">
        <f t="shared" si="20"/>
        <v>8620.94</v>
      </c>
      <c r="J80" s="224">
        <f t="shared" si="20"/>
        <v>5098.6900000000005</v>
      </c>
      <c r="K80" s="54">
        <f t="shared" si="20"/>
        <v>398</v>
      </c>
      <c r="L80" s="224">
        <f>SUM(L75:L79)</f>
        <v>1632030.62</v>
      </c>
      <c r="M80" s="224">
        <f t="shared" si="20"/>
        <v>0</v>
      </c>
      <c r="N80" s="224">
        <f t="shared" si="20"/>
        <v>979218.345970436</v>
      </c>
      <c r="O80" s="224">
        <f t="shared" si="20"/>
        <v>326406.13701478194</v>
      </c>
      <c r="P80" s="224">
        <f t="shared" si="20"/>
        <v>326406.137014782</v>
      </c>
      <c r="Q80" s="224" t="s">
        <v>33</v>
      </c>
      <c r="R80" s="102" t="s">
        <v>33</v>
      </c>
      <c r="S80" s="105"/>
      <c r="T80" s="55" t="b">
        <f>L80='раздел 4'!C83</f>
        <v>1</v>
      </c>
      <c r="U80" s="55">
        <f>'раздел 4'!C83-раздел3!N80-раздел3!O80-раздел3!P80</f>
        <v>0</v>
      </c>
      <c r="V80" s="55">
        <f>L80-'раздел 4'!C83</f>
        <v>0</v>
      </c>
      <c r="Z80" s="212">
        <f t="shared" si="19"/>
        <v>0</v>
      </c>
    </row>
    <row r="81" spans="1:26" s="101" customFormat="1" ht="15" customHeight="1">
      <c r="A81" s="258" t="s">
        <v>101</v>
      </c>
      <c r="B81" s="258"/>
      <c r="C81" s="258"/>
      <c r="D81" s="231"/>
      <c r="E81" s="231"/>
      <c r="F81" s="260"/>
      <c r="G81" s="260"/>
      <c r="H81" s="260"/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14"/>
      <c r="T81" s="55" t="b">
        <f>L81='раздел 4'!C84</f>
        <v>1</v>
      </c>
      <c r="U81" s="55">
        <f>'раздел 4'!C84-раздел3!N81-раздел3!O81-раздел3!P81</f>
        <v>0</v>
      </c>
      <c r="V81" s="55">
        <f>L81-'раздел 4'!C84</f>
        <v>0</v>
      </c>
      <c r="W81" s="101" t="s">
        <v>202</v>
      </c>
      <c r="Z81" s="212">
        <f t="shared" si="19"/>
        <v>0</v>
      </c>
    </row>
    <row r="82" spans="1:26" s="101" customFormat="1" ht="15">
      <c r="A82" s="54">
        <f>A79+1</f>
        <v>44</v>
      </c>
      <c r="B82" s="28" t="s">
        <v>102</v>
      </c>
      <c r="C82" s="107">
        <v>1981</v>
      </c>
      <c r="D82" s="107"/>
      <c r="E82" s="107" t="s">
        <v>103</v>
      </c>
      <c r="F82" s="108" t="s">
        <v>34</v>
      </c>
      <c r="G82" s="108" t="s">
        <v>34</v>
      </c>
      <c r="H82" s="167">
        <v>1679.1</v>
      </c>
      <c r="I82" s="167">
        <v>1355.9</v>
      </c>
      <c r="J82" s="167">
        <v>633.7</v>
      </c>
      <c r="K82" s="169">
        <v>65</v>
      </c>
      <c r="L82" s="224">
        <v>180927.48</v>
      </c>
      <c r="M82" s="142">
        <v>0</v>
      </c>
      <c r="N82" s="224">
        <v>108556.48</v>
      </c>
      <c r="O82" s="224">
        <v>36185.5</v>
      </c>
      <c r="P82" s="224">
        <v>36185.500000000015</v>
      </c>
      <c r="Q82" s="103" t="s">
        <v>387</v>
      </c>
      <c r="R82" s="104" t="s">
        <v>303</v>
      </c>
      <c r="S82" s="109"/>
      <c r="T82" s="55" t="b">
        <f>L82='раздел 4'!C85</f>
        <v>1</v>
      </c>
      <c r="U82" s="55">
        <f>'раздел 4'!C85-раздел3!N82-раздел3!O82-раздел3!P82</f>
        <v>0</v>
      </c>
      <c r="V82" s="55">
        <f>L82-'раздел 4'!C85</f>
        <v>0</v>
      </c>
      <c r="Z82" s="212">
        <f t="shared" si="19"/>
        <v>0</v>
      </c>
    </row>
    <row r="83" spans="1:26" s="101" customFormat="1" ht="15">
      <c r="A83" s="79">
        <f>A82+1</f>
        <v>45</v>
      </c>
      <c r="B83" s="28" t="s">
        <v>383</v>
      </c>
      <c r="C83" s="123">
        <v>1981</v>
      </c>
      <c r="D83" s="106"/>
      <c r="E83" s="106" t="s">
        <v>384</v>
      </c>
      <c r="F83" s="108" t="s">
        <v>34</v>
      </c>
      <c r="G83" s="108" t="s">
        <v>34</v>
      </c>
      <c r="H83" s="142">
        <v>1859.98</v>
      </c>
      <c r="I83" s="142">
        <v>1464.5</v>
      </c>
      <c r="J83" s="142">
        <v>868.4</v>
      </c>
      <c r="K83" s="163">
        <v>62</v>
      </c>
      <c r="L83" s="224">
        <v>90947.72</v>
      </c>
      <c r="M83" s="142">
        <v>0</v>
      </c>
      <c r="N83" s="224">
        <v>54568.62797860004</v>
      </c>
      <c r="O83" s="224">
        <v>18189.546010699978</v>
      </c>
      <c r="P83" s="224">
        <v>18189.546010699985</v>
      </c>
      <c r="Q83" s="103" t="s">
        <v>387</v>
      </c>
      <c r="R83" s="104" t="s">
        <v>303</v>
      </c>
      <c r="S83" s="109"/>
      <c r="T83" s="55" t="b">
        <f>L83='раздел 4'!C86</f>
        <v>1</v>
      </c>
      <c r="U83" s="55">
        <f>'раздел 4'!C86-раздел3!N83-раздел3!O83-раздел3!P83</f>
        <v>0</v>
      </c>
      <c r="V83" s="55" t="e">
        <f>L83-'[1]раздел 4'!C85</f>
        <v>#REF!</v>
      </c>
      <c r="Z83" s="212">
        <f t="shared" si="19"/>
        <v>0</v>
      </c>
    </row>
    <row r="84" spans="1:26" s="24" customFormat="1" ht="15">
      <c r="A84" s="253" t="s">
        <v>60</v>
      </c>
      <c r="B84" s="253"/>
      <c r="C84" s="102" t="s">
        <v>33</v>
      </c>
      <c r="D84" s="102" t="s">
        <v>33</v>
      </c>
      <c r="E84" s="102" t="s">
        <v>33</v>
      </c>
      <c r="F84" s="102" t="s">
        <v>33</v>
      </c>
      <c r="G84" s="102" t="s">
        <v>33</v>
      </c>
      <c r="H84" s="224">
        <f aca="true" t="shared" si="21" ref="H84:P84">SUM(H82:H83)</f>
        <v>3539.08</v>
      </c>
      <c r="I84" s="224">
        <f t="shared" si="21"/>
        <v>2820.4</v>
      </c>
      <c r="J84" s="224">
        <f t="shared" si="21"/>
        <v>1502.1</v>
      </c>
      <c r="K84" s="7">
        <f t="shared" si="21"/>
        <v>127</v>
      </c>
      <c r="L84" s="224">
        <f t="shared" si="21"/>
        <v>271875.2</v>
      </c>
      <c r="M84" s="224">
        <f t="shared" si="21"/>
        <v>0</v>
      </c>
      <c r="N84" s="224">
        <f t="shared" si="21"/>
        <v>163125.10797860002</v>
      </c>
      <c r="O84" s="224">
        <f t="shared" si="21"/>
        <v>54375.04601069998</v>
      </c>
      <c r="P84" s="224">
        <f t="shared" si="21"/>
        <v>54375.046010699996</v>
      </c>
      <c r="Q84" s="224" t="s">
        <v>33</v>
      </c>
      <c r="R84" s="102" t="s">
        <v>33</v>
      </c>
      <c r="S84" s="124"/>
      <c r="T84" s="55" t="b">
        <f>L84='раздел 4'!C87</f>
        <v>1</v>
      </c>
      <c r="U84" s="55">
        <f>'раздел 4'!C87-раздел3!N84-раздел3!O84-раздел3!P84</f>
        <v>0</v>
      </c>
      <c r="V84" s="55">
        <f>L84-'раздел 4'!C87</f>
        <v>0</v>
      </c>
      <c r="Z84" s="212">
        <f t="shared" si="19"/>
        <v>0</v>
      </c>
    </row>
    <row r="85" spans="1:26" s="24" customFormat="1" ht="15" customHeight="1">
      <c r="A85" s="276" t="s">
        <v>69</v>
      </c>
      <c r="B85" s="277"/>
      <c r="C85" s="102" t="s">
        <v>33</v>
      </c>
      <c r="D85" s="234" t="s">
        <v>33</v>
      </c>
      <c r="E85" s="234" t="s">
        <v>33</v>
      </c>
      <c r="F85" s="234" t="s">
        <v>33</v>
      </c>
      <c r="G85" s="234" t="s">
        <v>33</v>
      </c>
      <c r="H85" s="139">
        <f>H40+H58+H64+H73+H84+H80</f>
        <v>107680.12</v>
      </c>
      <c r="I85" s="139">
        <f>I40+I58+I64+I73+I84+I80</f>
        <v>101577.32999999999</v>
      </c>
      <c r="J85" s="139">
        <f>J40+J58+J64+J73+J84+J80</f>
        <v>73928.29000000001</v>
      </c>
      <c r="K85" s="170">
        <f>K40+K58+K64+K73+K84+K80</f>
        <v>4623</v>
      </c>
      <c r="L85" s="139">
        <f>L40+L58+L64+L73+L80+L84</f>
        <v>19212793.448999997</v>
      </c>
      <c r="M85" s="139">
        <f>M40+M58+M64+M73+M80+M84</f>
        <v>0</v>
      </c>
      <c r="N85" s="139">
        <f>N40+N58+N64+N73+N80+N84</f>
        <v>11527676.028831689</v>
      </c>
      <c r="O85" s="139">
        <f>O40+O58+O64+O73+O80+O84</f>
        <v>3842558.710584155</v>
      </c>
      <c r="P85" s="139">
        <f>P40+P58+P64+P73+P80+P84</f>
        <v>3842558.7095841547</v>
      </c>
      <c r="Q85" s="224" t="s">
        <v>33</v>
      </c>
      <c r="R85" s="102" t="s">
        <v>33</v>
      </c>
      <c r="S85" s="105">
        <f>L85-N85-O85-P85</f>
        <v>0</v>
      </c>
      <c r="T85" s="55" t="b">
        <f>L85='раздел 4'!C88</f>
        <v>1</v>
      </c>
      <c r="U85" s="55">
        <f>'раздел 4'!C88-раздел3!N85-раздел3!O85-раздел3!P85</f>
        <v>0</v>
      </c>
      <c r="V85" s="55">
        <f>L85-'раздел 4'!C88</f>
        <v>0</v>
      </c>
      <c r="Z85" s="212">
        <f t="shared" si="19"/>
        <v>0.0010000001639127731</v>
      </c>
    </row>
    <row r="86" spans="1:26" s="24" customFormat="1" ht="15">
      <c r="A86" s="261" t="s">
        <v>373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2"/>
      <c r="N86" s="262"/>
      <c r="O86" s="262"/>
      <c r="P86" s="262"/>
      <c r="Q86" s="262"/>
      <c r="R86" s="263"/>
      <c r="S86" s="216"/>
      <c r="T86" s="55" t="b">
        <f>L86='раздел 4'!C89</f>
        <v>1</v>
      </c>
      <c r="U86" s="55">
        <f>'раздел 4'!C89-раздел3!N86-раздел3!O86-раздел3!P86</f>
        <v>0</v>
      </c>
      <c r="V86" s="55">
        <f>L86-'раздел 4'!C89</f>
        <v>0</v>
      </c>
      <c r="Z86" s="212">
        <f t="shared" si="19"/>
        <v>0</v>
      </c>
    </row>
    <row r="87" spans="1:26" s="24" customFormat="1" ht="15" customHeight="1">
      <c r="A87" s="264" t="s">
        <v>256</v>
      </c>
      <c r="B87" s="265"/>
      <c r="C87" s="298"/>
      <c r="D87" s="102"/>
      <c r="E87" s="102"/>
      <c r="F87" s="102"/>
      <c r="G87" s="102"/>
      <c r="H87" s="78"/>
      <c r="I87" s="78"/>
      <c r="J87" s="78"/>
      <c r="K87" s="126"/>
      <c r="L87" s="89"/>
      <c r="M87" s="89"/>
      <c r="N87" s="89"/>
      <c r="O87" s="89"/>
      <c r="P87" s="89"/>
      <c r="Q87" s="103"/>
      <c r="R87" s="104"/>
      <c r="S87" s="127"/>
      <c r="T87" s="55" t="b">
        <f>L87='раздел 4'!C90</f>
        <v>1</v>
      </c>
      <c r="U87" s="55">
        <f>'раздел 4'!C90-раздел3!N87-раздел3!O87-раздел3!P87</f>
        <v>0</v>
      </c>
      <c r="V87" s="55">
        <f>L87-'раздел 4'!C90</f>
        <v>0</v>
      </c>
      <c r="Z87" s="212">
        <f t="shared" si="19"/>
        <v>0</v>
      </c>
    </row>
    <row r="88" spans="1:26" s="24" customFormat="1" ht="15">
      <c r="A88" s="8">
        <f>A83+1</f>
        <v>46</v>
      </c>
      <c r="B88" s="22" t="s">
        <v>321</v>
      </c>
      <c r="C88" s="14">
        <v>1967</v>
      </c>
      <c r="D88" s="14">
        <v>1992</v>
      </c>
      <c r="E88" s="102" t="s">
        <v>26</v>
      </c>
      <c r="F88" s="8">
        <v>2</v>
      </c>
      <c r="G88" s="8">
        <v>1</v>
      </c>
      <c r="H88" s="77">
        <v>391.6</v>
      </c>
      <c r="I88" s="77">
        <v>391.6</v>
      </c>
      <c r="J88" s="77">
        <v>362.3</v>
      </c>
      <c r="K88" s="79">
        <v>20</v>
      </c>
      <c r="L88" s="224">
        <f>'раздел 4'!C91</f>
        <v>149610.6</v>
      </c>
      <c r="M88" s="252">
        <v>0</v>
      </c>
      <c r="N88" s="224">
        <v>89766.36</v>
      </c>
      <c r="O88" s="224">
        <v>29922.12</v>
      </c>
      <c r="P88" s="224">
        <f>L88-N88-O88</f>
        <v>29922.120000000006</v>
      </c>
      <c r="Q88" s="103" t="s">
        <v>387</v>
      </c>
      <c r="R88" s="104" t="s">
        <v>303</v>
      </c>
      <c r="S88" s="127"/>
      <c r="T88" s="55" t="b">
        <f>L88='раздел 4'!C91</f>
        <v>1</v>
      </c>
      <c r="U88" s="55">
        <f>'раздел 4'!C91-раздел3!N88-раздел3!O88-раздел3!P88</f>
        <v>0</v>
      </c>
      <c r="V88" s="55">
        <f>L88-'раздел 4'!C91</f>
        <v>0</v>
      </c>
      <c r="W88" s="24" t="s">
        <v>203</v>
      </c>
      <c r="Z88" s="212">
        <f t="shared" si="19"/>
        <v>0</v>
      </c>
    </row>
    <row r="89" spans="1:26" s="24" customFormat="1" ht="15">
      <c r="A89" s="79">
        <f>A88+1</f>
        <v>47</v>
      </c>
      <c r="B89" s="22" t="s">
        <v>322</v>
      </c>
      <c r="C89" s="14">
        <v>1969</v>
      </c>
      <c r="D89" s="14">
        <v>1992</v>
      </c>
      <c r="E89" s="102" t="s">
        <v>26</v>
      </c>
      <c r="F89" s="8">
        <v>2</v>
      </c>
      <c r="G89" s="8">
        <v>1</v>
      </c>
      <c r="H89" s="77">
        <v>396.5</v>
      </c>
      <c r="I89" s="77">
        <v>396.5</v>
      </c>
      <c r="J89" s="77">
        <v>367.2</v>
      </c>
      <c r="K89" s="79">
        <v>20</v>
      </c>
      <c r="L89" s="224">
        <f>'раздел 4'!C92</f>
        <v>91806.51</v>
      </c>
      <c r="M89" s="252">
        <v>0</v>
      </c>
      <c r="N89" s="224">
        <v>55083.91</v>
      </c>
      <c r="O89" s="224">
        <v>18361.3</v>
      </c>
      <c r="P89" s="224">
        <f>L89-N89-O89</f>
        <v>18361.299999999992</v>
      </c>
      <c r="Q89" s="103" t="s">
        <v>387</v>
      </c>
      <c r="R89" s="104" t="s">
        <v>303</v>
      </c>
      <c r="S89" s="127"/>
      <c r="T89" s="55" t="b">
        <f>L89='раздел 4'!C92</f>
        <v>1</v>
      </c>
      <c r="U89" s="55">
        <f>'раздел 4'!C92-раздел3!N89-раздел3!O89-раздел3!P89</f>
        <v>0</v>
      </c>
      <c r="V89" s="55">
        <f>L89-'раздел 4'!C92</f>
        <v>0</v>
      </c>
      <c r="Z89" s="212">
        <f t="shared" si="19"/>
        <v>0</v>
      </c>
    </row>
    <row r="90" spans="1:26" s="24" customFormat="1" ht="15">
      <c r="A90" s="79">
        <f>A89+1</f>
        <v>48</v>
      </c>
      <c r="B90" s="22" t="s">
        <v>323</v>
      </c>
      <c r="C90" s="14">
        <v>1967</v>
      </c>
      <c r="D90" s="14">
        <v>1992</v>
      </c>
      <c r="E90" s="102" t="s">
        <v>26</v>
      </c>
      <c r="F90" s="8">
        <v>2</v>
      </c>
      <c r="G90" s="8">
        <v>1</v>
      </c>
      <c r="H90" s="77">
        <v>391.3</v>
      </c>
      <c r="I90" s="77">
        <v>391.3</v>
      </c>
      <c r="J90" s="77">
        <v>362</v>
      </c>
      <c r="K90" s="79">
        <v>20</v>
      </c>
      <c r="L90" s="224">
        <f>'раздел 4'!C93</f>
        <v>91304.05</v>
      </c>
      <c r="M90" s="252">
        <v>0</v>
      </c>
      <c r="N90" s="224">
        <v>54782.43</v>
      </c>
      <c r="O90" s="224">
        <v>18260.81</v>
      </c>
      <c r="P90" s="224">
        <f>L90-N90-O90</f>
        <v>18260.81</v>
      </c>
      <c r="Q90" s="103" t="s">
        <v>387</v>
      </c>
      <c r="R90" s="104" t="s">
        <v>303</v>
      </c>
      <c r="S90" s="127"/>
      <c r="T90" s="55" t="b">
        <f>L90='раздел 4'!C93</f>
        <v>1</v>
      </c>
      <c r="U90" s="55">
        <f>'раздел 4'!C93-раздел3!N90-раздел3!O90-раздел3!P90</f>
        <v>0</v>
      </c>
      <c r="V90" s="55">
        <f>L90-'раздел 4'!C93</f>
        <v>0</v>
      </c>
      <c r="Z90" s="212">
        <f t="shared" si="19"/>
        <v>0</v>
      </c>
    </row>
    <row r="91" spans="1:26" s="24" customFormat="1" ht="17.25" customHeight="1">
      <c r="A91" s="282" t="s">
        <v>60</v>
      </c>
      <c r="B91" s="283"/>
      <c r="C91" s="102" t="s">
        <v>33</v>
      </c>
      <c r="D91" s="102" t="s">
        <v>33</v>
      </c>
      <c r="E91" s="102" t="s">
        <v>33</v>
      </c>
      <c r="F91" s="102" t="s">
        <v>33</v>
      </c>
      <c r="G91" s="102" t="s">
        <v>33</v>
      </c>
      <c r="H91" s="224">
        <f aca="true" t="shared" si="22" ref="H91:P91">SUM(H88:H90)</f>
        <v>1179.4</v>
      </c>
      <c r="I91" s="224">
        <f t="shared" si="22"/>
        <v>1179.4</v>
      </c>
      <c r="J91" s="224">
        <f t="shared" si="22"/>
        <v>1091.5</v>
      </c>
      <c r="K91" s="7">
        <f t="shared" si="22"/>
        <v>60</v>
      </c>
      <c r="L91" s="224">
        <f>SUM(L88:L90)</f>
        <v>332721.16</v>
      </c>
      <c r="M91" s="224">
        <f t="shared" si="22"/>
        <v>0</v>
      </c>
      <c r="N91" s="224">
        <f t="shared" si="22"/>
        <v>199632.7</v>
      </c>
      <c r="O91" s="224">
        <f t="shared" si="22"/>
        <v>66544.23</v>
      </c>
      <c r="P91" s="224">
        <f t="shared" si="22"/>
        <v>66544.23</v>
      </c>
      <c r="Q91" s="224" t="s">
        <v>33</v>
      </c>
      <c r="R91" s="102" t="s">
        <v>33</v>
      </c>
      <c r="S91" s="105">
        <f>L91-N91-O91-P91</f>
        <v>0</v>
      </c>
      <c r="T91" s="55" t="b">
        <f>L91='раздел 4'!C94</f>
        <v>1</v>
      </c>
      <c r="U91" s="55">
        <f>'раздел 4'!C94-раздел3!N91-раздел3!O91-раздел3!P91</f>
        <v>0</v>
      </c>
      <c r="V91" s="55">
        <f>L91-'раздел 4'!C94</f>
        <v>0</v>
      </c>
      <c r="Z91" s="212">
        <f t="shared" si="19"/>
        <v>0</v>
      </c>
    </row>
    <row r="92" spans="1:26" s="24" customFormat="1" ht="15" customHeight="1">
      <c r="A92" s="259" t="s">
        <v>111</v>
      </c>
      <c r="B92" s="259"/>
      <c r="C92" s="259"/>
      <c r="D92" s="78"/>
      <c r="E92" s="78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14"/>
      <c r="T92" s="55" t="b">
        <f>L92='раздел 4'!C95</f>
        <v>1</v>
      </c>
      <c r="U92" s="55">
        <f>'раздел 4'!C95-раздел3!N92-раздел3!O92-раздел3!P92</f>
        <v>0</v>
      </c>
      <c r="V92" s="55">
        <f>L92-'раздел 4'!C95</f>
        <v>0</v>
      </c>
      <c r="W92" s="101" t="s">
        <v>187</v>
      </c>
      <c r="Z92" s="212">
        <f t="shared" si="19"/>
        <v>0</v>
      </c>
    </row>
    <row r="93" spans="1:26" s="24" customFormat="1" ht="15">
      <c r="A93" s="8">
        <f>A90+1</f>
        <v>49</v>
      </c>
      <c r="B93" s="23" t="s">
        <v>112</v>
      </c>
      <c r="C93" s="131">
        <v>1991</v>
      </c>
      <c r="D93" s="231"/>
      <c r="E93" s="231" t="s">
        <v>114</v>
      </c>
      <c r="F93" s="131">
        <v>9</v>
      </c>
      <c r="G93" s="131">
        <v>3</v>
      </c>
      <c r="H93" s="171">
        <v>8903.8</v>
      </c>
      <c r="I93" s="171">
        <v>6095.2</v>
      </c>
      <c r="J93" s="171">
        <v>5302.65</v>
      </c>
      <c r="K93" s="173">
        <v>300</v>
      </c>
      <c r="L93" s="171">
        <v>700257.37</v>
      </c>
      <c r="M93" s="224">
        <v>0</v>
      </c>
      <c r="N93" s="224">
        <v>420154.42199999996</v>
      </c>
      <c r="O93" s="224">
        <v>140051.47400000002</v>
      </c>
      <c r="P93" s="224">
        <v>140051.47400000002</v>
      </c>
      <c r="Q93" s="103" t="s">
        <v>387</v>
      </c>
      <c r="R93" s="104" t="s">
        <v>303</v>
      </c>
      <c r="S93" s="124"/>
      <c r="T93" s="55" t="b">
        <f>L93='раздел 4'!C96</f>
        <v>1</v>
      </c>
      <c r="U93" s="55">
        <f>'раздел 4'!C96-раздел3!N93-раздел3!O93-раздел3!P93</f>
        <v>0</v>
      </c>
      <c r="V93" s="55">
        <f>L93-'раздел 4'!C96</f>
        <v>0</v>
      </c>
      <c r="Z93" s="212">
        <f t="shared" si="19"/>
        <v>0</v>
      </c>
    </row>
    <row r="94" spans="1:26" s="24" customFormat="1" ht="15">
      <c r="A94" s="8">
        <f>A93+1</f>
        <v>50</v>
      </c>
      <c r="B94" s="23" t="s">
        <v>113</v>
      </c>
      <c r="C94" s="131">
        <v>1989</v>
      </c>
      <c r="D94" s="231"/>
      <c r="E94" s="231" t="s">
        <v>114</v>
      </c>
      <c r="F94" s="131">
        <v>9</v>
      </c>
      <c r="G94" s="131">
        <v>7</v>
      </c>
      <c r="H94" s="171">
        <v>17609.8</v>
      </c>
      <c r="I94" s="171">
        <v>13640.3</v>
      </c>
      <c r="J94" s="171">
        <v>12312.7</v>
      </c>
      <c r="K94" s="173">
        <v>630</v>
      </c>
      <c r="L94" s="171">
        <v>1651465.17</v>
      </c>
      <c r="M94" s="224">
        <v>0</v>
      </c>
      <c r="N94" s="224">
        <v>990879.09802</v>
      </c>
      <c r="O94" s="224">
        <v>330293.03599</v>
      </c>
      <c r="P94" s="224">
        <v>330293.03599</v>
      </c>
      <c r="Q94" s="103" t="s">
        <v>387</v>
      </c>
      <c r="R94" s="104" t="s">
        <v>303</v>
      </c>
      <c r="S94" s="124"/>
      <c r="T94" s="55" t="b">
        <f>L94='раздел 4'!C97</f>
        <v>1</v>
      </c>
      <c r="U94" s="55">
        <f>'раздел 4'!C97-раздел3!N94-раздел3!O94-раздел3!P94</f>
        <v>0</v>
      </c>
      <c r="V94" s="55">
        <f>L94-'раздел 4'!C97</f>
        <v>0</v>
      </c>
      <c r="Z94" s="212">
        <f t="shared" si="19"/>
        <v>0</v>
      </c>
    </row>
    <row r="95" spans="1:26" s="24" customFormat="1" ht="15">
      <c r="A95" s="253" t="s">
        <v>60</v>
      </c>
      <c r="B95" s="253"/>
      <c r="C95" s="102" t="s">
        <v>33</v>
      </c>
      <c r="D95" s="102" t="s">
        <v>33</v>
      </c>
      <c r="E95" s="102" t="s">
        <v>33</v>
      </c>
      <c r="F95" s="102" t="s">
        <v>33</v>
      </c>
      <c r="G95" s="102" t="s">
        <v>33</v>
      </c>
      <c r="H95" s="77">
        <f aca="true" t="shared" si="23" ref="H95:P95">SUM(H93:H94)</f>
        <v>26513.6</v>
      </c>
      <c r="I95" s="77">
        <f t="shared" si="23"/>
        <v>19735.5</v>
      </c>
      <c r="J95" s="77">
        <f t="shared" si="23"/>
        <v>17615.35</v>
      </c>
      <c r="K95" s="79">
        <f t="shared" si="23"/>
        <v>930</v>
      </c>
      <c r="L95" s="77">
        <f>SUM(L93:L94)</f>
        <v>2351722.54</v>
      </c>
      <c r="M95" s="77">
        <f t="shared" si="23"/>
        <v>0</v>
      </c>
      <c r="N95" s="77">
        <f t="shared" si="23"/>
        <v>1411033.52002</v>
      </c>
      <c r="O95" s="77">
        <f t="shared" si="23"/>
        <v>470344.50999000005</v>
      </c>
      <c r="P95" s="77">
        <f t="shared" si="23"/>
        <v>470344.50999000005</v>
      </c>
      <c r="Q95" s="224" t="s">
        <v>33</v>
      </c>
      <c r="R95" s="102" t="s">
        <v>33</v>
      </c>
      <c r="S95" s="105">
        <f>L95-N95-O95-P95</f>
        <v>0</v>
      </c>
      <c r="T95" s="55" t="b">
        <f>L95='раздел 4'!C98</f>
        <v>1</v>
      </c>
      <c r="U95" s="55">
        <f>'раздел 4'!C98-раздел3!N95-раздел3!O95-раздел3!P95</f>
        <v>0</v>
      </c>
      <c r="V95" s="55">
        <f>L95-'раздел 4'!C98</f>
        <v>0</v>
      </c>
      <c r="Z95" s="212">
        <f t="shared" si="19"/>
        <v>0</v>
      </c>
    </row>
    <row r="96" spans="1:26" s="24" customFormat="1" ht="15" customHeight="1">
      <c r="A96" s="259" t="s">
        <v>70</v>
      </c>
      <c r="B96" s="259"/>
      <c r="C96" s="259"/>
      <c r="D96" s="78"/>
      <c r="E96" s="78"/>
      <c r="F96" s="260"/>
      <c r="G96" s="260"/>
      <c r="H96" s="260"/>
      <c r="I96" s="260"/>
      <c r="J96" s="260"/>
      <c r="K96" s="260"/>
      <c r="L96" s="260"/>
      <c r="M96" s="260"/>
      <c r="N96" s="260"/>
      <c r="O96" s="260"/>
      <c r="P96" s="260"/>
      <c r="Q96" s="260"/>
      <c r="R96" s="260"/>
      <c r="S96" s="214"/>
      <c r="T96" s="55" t="b">
        <f>L96='раздел 4'!C99</f>
        <v>1</v>
      </c>
      <c r="U96" s="55">
        <f>'раздел 4'!C99-раздел3!N96-раздел3!O96-раздел3!P96</f>
        <v>0</v>
      </c>
      <c r="V96" s="55">
        <f>L96-'раздел 4'!C99</f>
        <v>0</v>
      </c>
      <c r="W96" s="24" t="s">
        <v>204</v>
      </c>
      <c r="Z96" s="212">
        <f t="shared" si="19"/>
        <v>0</v>
      </c>
    </row>
    <row r="97" spans="1:26" s="24" customFormat="1" ht="15">
      <c r="A97" s="8">
        <f>A94+1</f>
        <v>51</v>
      </c>
      <c r="B97" s="38" t="s">
        <v>140</v>
      </c>
      <c r="C97" s="8">
        <v>1990</v>
      </c>
      <c r="D97" s="102"/>
      <c r="E97" s="102" t="s">
        <v>158</v>
      </c>
      <c r="F97" s="8">
        <v>6</v>
      </c>
      <c r="G97" s="8">
        <v>6</v>
      </c>
      <c r="H97" s="102">
        <v>8643</v>
      </c>
      <c r="I97" s="235">
        <v>5163</v>
      </c>
      <c r="J97" s="235">
        <v>4968.1</v>
      </c>
      <c r="K97" s="174">
        <v>232</v>
      </c>
      <c r="L97" s="235">
        <v>1240419.03</v>
      </c>
      <c r="M97" s="235">
        <v>0</v>
      </c>
      <c r="N97" s="224">
        <v>744251.42158</v>
      </c>
      <c r="O97" s="224">
        <v>248083.80421</v>
      </c>
      <c r="P97" s="224">
        <v>248083.8042100001</v>
      </c>
      <c r="Q97" s="103" t="s">
        <v>387</v>
      </c>
      <c r="R97" s="104" t="s">
        <v>303</v>
      </c>
      <c r="S97" s="124"/>
      <c r="T97" s="55" t="b">
        <f>L97='раздел 4'!C100</f>
        <v>1</v>
      </c>
      <c r="U97" s="55">
        <f>'раздел 4'!C100-раздел3!N97-раздел3!O97-раздел3!P97</f>
        <v>0</v>
      </c>
      <c r="V97" s="55">
        <f>L97-'раздел 4'!C100</f>
        <v>0</v>
      </c>
      <c r="Z97" s="212">
        <f t="shared" si="19"/>
        <v>0</v>
      </c>
    </row>
    <row r="98" spans="1:26" s="24" customFormat="1" ht="15">
      <c r="A98" s="8">
        <f aca="true" t="shared" si="24" ref="A98:A114">A97+1</f>
        <v>52</v>
      </c>
      <c r="B98" s="38" t="s">
        <v>141</v>
      </c>
      <c r="C98" s="8">
        <v>1988</v>
      </c>
      <c r="D98" s="102"/>
      <c r="E98" s="102" t="s">
        <v>158</v>
      </c>
      <c r="F98" s="8">
        <v>6</v>
      </c>
      <c r="G98" s="8">
        <v>3</v>
      </c>
      <c r="H98" s="102">
        <v>15055</v>
      </c>
      <c r="I98" s="235">
        <v>5828.3</v>
      </c>
      <c r="J98" s="235">
        <v>5523.9</v>
      </c>
      <c r="K98" s="174">
        <v>199</v>
      </c>
      <c r="L98" s="235">
        <v>613738.8</v>
      </c>
      <c r="M98" s="235">
        <v>0</v>
      </c>
      <c r="N98" s="224">
        <v>368243.27284</v>
      </c>
      <c r="O98" s="224">
        <v>122747.76357999998</v>
      </c>
      <c r="P98" s="224">
        <v>122747.76358000003</v>
      </c>
      <c r="Q98" s="103" t="s">
        <v>387</v>
      </c>
      <c r="R98" s="104" t="s">
        <v>303</v>
      </c>
      <c r="S98" s="124"/>
      <c r="T98" s="55" t="b">
        <f>L98='раздел 4'!C101</f>
        <v>1</v>
      </c>
      <c r="U98" s="55">
        <f>'раздел 4'!C101-раздел3!N98-раздел3!O98-раздел3!P98</f>
        <v>0</v>
      </c>
      <c r="V98" s="55">
        <f>L98-'раздел 4'!C101</f>
        <v>0</v>
      </c>
      <c r="Z98" s="212">
        <f t="shared" si="19"/>
        <v>0</v>
      </c>
    </row>
    <row r="99" spans="1:26" s="24" customFormat="1" ht="14.25" customHeight="1">
      <c r="A99" s="8">
        <f t="shared" si="24"/>
        <v>53</v>
      </c>
      <c r="B99" s="39" t="s">
        <v>142</v>
      </c>
      <c r="C99" s="238">
        <v>1917</v>
      </c>
      <c r="D99" s="132"/>
      <c r="E99" s="102" t="s">
        <v>158</v>
      </c>
      <c r="F99" s="133">
        <v>2</v>
      </c>
      <c r="G99" s="134">
        <v>2</v>
      </c>
      <c r="H99" s="18">
        <v>1231</v>
      </c>
      <c r="I99" s="224">
        <v>509.2</v>
      </c>
      <c r="J99" s="102">
        <v>509.2</v>
      </c>
      <c r="K99" s="8">
        <v>32</v>
      </c>
      <c r="L99" s="235">
        <v>307306.73</v>
      </c>
      <c r="M99" s="235">
        <v>0</v>
      </c>
      <c r="N99" s="224">
        <v>184384.03</v>
      </c>
      <c r="O99" s="224">
        <v>61461.35</v>
      </c>
      <c r="P99" s="224">
        <v>61461.349999999984</v>
      </c>
      <c r="Q99" s="103" t="s">
        <v>387</v>
      </c>
      <c r="R99" s="104" t="s">
        <v>303</v>
      </c>
      <c r="S99" s="124"/>
      <c r="T99" s="55" t="b">
        <f>L99='раздел 4'!C102</f>
        <v>1</v>
      </c>
      <c r="U99" s="55">
        <f>'раздел 4'!C102-раздел3!N99-раздел3!O99-раздел3!P99</f>
        <v>0</v>
      </c>
      <c r="V99" s="55">
        <f>L99-'раздел 4'!C102</f>
        <v>0</v>
      </c>
      <c r="Z99" s="212">
        <f t="shared" si="19"/>
        <v>0</v>
      </c>
    </row>
    <row r="100" spans="1:26" s="24" customFormat="1" ht="15">
      <c r="A100" s="8">
        <f t="shared" si="24"/>
        <v>54</v>
      </c>
      <c r="B100" s="40" t="s">
        <v>143</v>
      </c>
      <c r="C100" s="123">
        <v>1964</v>
      </c>
      <c r="D100" s="135"/>
      <c r="E100" s="102" t="s">
        <v>158</v>
      </c>
      <c r="F100" s="136">
        <v>4</v>
      </c>
      <c r="G100" s="8">
        <v>3</v>
      </c>
      <c r="H100" s="172">
        <v>2838.33</v>
      </c>
      <c r="I100" s="224">
        <v>2004.43</v>
      </c>
      <c r="J100" s="102">
        <v>1963.96</v>
      </c>
      <c r="K100" s="175">
        <v>79</v>
      </c>
      <c r="L100" s="235">
        <v>520822.84</v>
      </c>
      <c r="M100" s="235">
        <v>0</v>
      </c>
      <c r="N100" s="224">
        <v>312493.7</v>
      </c>
      <c r="O100" s="224">
        <v>104164.57</v>
      </c>
      <c r="P100" s="224">
        <v>104164.57</v>
      </c>
      <c r="Q100" s="103" t="s">
        <v>387</v>
      </c>
      <c r="R100" s="104" t="s">
        <v>303</v>
      </c>
      <c r="S100" s="124"/>
      <c r="T100" s="55" t="b">
        <f>L100='раздел 4'!C103</f>
        <v>1</v>
      </c>
      <c r="U100" s="55">
        <f>'раздел 4'!C103-раздел3!N100-раздел3!O100-раздел3!P100</f>
        <v>0</v>
      </c>
      <c r="V100" s="55">
        <f>L100-'раздел 4'!C103</f>
        <v>0</v>
      </c>
      <c r="Z100" s="212">
        <f t="shared" si="19"/>
        <v>0</v>
      </c>
    </row>
    <row r="101" spans="1:26" s="24" customFormat="1" ht="15">
      <c r="A101" s="8">
        <f t="shared" si="24"/>
        <v>55</v>
      </c>
      <c r="B101" s="38" t="s">
        <v>144</v>
      </c>
      <c r="C101" s="8">
        <v>1988</v>
      </c>
      <c r="D101" s="102"/>
      <c r="E101" s="102" t="s">
        <v>31</v>
      </c>
      <c r="F101" s="8">
        <v>9</v>
      </c>
      <c r="G101" s="8">
        <v>2</v>
      </c>
      <c r="H101" s="102">
        <v>5884.39</v>
      </c>
      <c r="I101" s="235">
        <v>3998.39</v>
      </c>
      <c r="J101" s="235">
        <v>3563.42</v>
      </c>
      <c r="K101" s="174">
        <v>177</v>
      </c>
      <c r="L101" s="235">
        <v>410952.82</v>
      </c>
      <c r="M101" s="235">
        <v>0</v>
      </c>
      <c r="N101" s="224">
        <v>246571.69558</v>
      </c>
      <c r="O101" s="224">
        <v>82190.56221</v>
      </c>
      <c r="P101" s="224">
        <v>82190.56221</v>
      </c>
      <c r="Q101" s="103" t="s">
        <v>387</v>
      </c>
      <c r="R101" s="104" t="s">
        <v>303</v>
      </c>
      <c r="S101" s="124"/>
      <c r="T101" s="55" t="b">
        <f>L101='раздел 4'!C104</f>
        <v>1</v>
      </c>
      <c r="U101" s="55">
        <f>'раздел 4'!C104-раздел3!N101-раздел3!O101-раздел3!P101</f>
        <v>0</v>
      </c>
      <c r="V101" s="55">
        <f>L101-'раздел 4'!C104</f>
        <v>0</v>
      </c>
      <c r="Z101" s="212">
        <f t="shared" si="19"/>
        <v>0</v>
      </c>
    </row>
    <row r="102" spans="1:26" s="24" customFormat="1" ht="15">
      <c r="A102" s="8">
        <f t="shared" si="24"/>
        <v>56</v>
      </c>
      <c r="B102" s="38" t="s">
        <v>145</v>
      </c>
      <c r="C102" s="123">
        <v>1956</v>
      </c>
      <c r="D102" s="224"/>
      <c r="E102" s="102" t="s">
        <v>158</v>
      </c>
      <c r="F102" s="136">
        <v>2</v>
      </c>
      <c r="G102" s="8">
        <v>2</v>
      </c>
      <c r="H102" s="172">
        <v>714.36</v>
      </c>
      <c r="I102" s="224">
        <v>377.96</v>
      </c>
      <c r="J102" s="102">
        <v>305.96</v>
      </c>
      <c r="K102" s="175">
        <v>22</v>
      </c>
      <c r="L102" s="235">
        <v>362185.49</v>
      </c>
      <c r="M102" s="235">
        <v>0</v>
      </c>
      <c r="N102" s="224">
        <v>217311.30195999992</v>
      </c>
      <c r="O102" s="224">
        <v>72437.09402000002</v>
      </c>
      <c r="P102" s="224">
        <v>72437.09402000002</v>
      </c>
      <c r="Q102" s="103" t="s">
        <v>387</v>
      </c>
      <c r="R102" s="104" t="s">
        <v>303</v>
      </c>
      <c r="S102" s="124"/>
      <c r="T102" s="55" t="b">
        <f>L102='раздел 4'!C105</f>
        <v>1</v>
      </c>
      <c r="U102" s="55">
        <f>'раздел 4'!C105-раздел3!N102-раздел3!O102-раздел3!P102</f>
        <v>0</v>
      </c>
      <c r="V102" s="55">
        <f>L102-'раздел 4'!C105</f>
        <v>0</v>
      </c>
      <c r="Z102" s="212">
        <f t="shared" si="19"/>
        <v>0</v>
      </c>
    </row>
    <row r="103" spans="1:26" s="24" customFormat="1" ht="15">
      <c r="A103" s="8">
        <f t="shared" si="24"/>
        <v>57</v>
      </c>
      <c r="B103" s="38" t="s">
        <v>146</v>
      </c>
      <c r="C103" s="123">
        <v>1956</v>
      </c>
      <c r="D103" s="224"/>
      <c r="E103" s="102" t="s">
        <v>158</v>
      </c>
      <c r="F103" s="136">
        <v>2</v>
      </c>
      <c r="G103" s="8">
        <v>2</v>
      </c>
      <c r="H103" s="172">
        <v>713.96</v>
      </c>
      <c r="I103" s="224">
        <v>377.56</v>
      </c>
      <c r="J103" s="102">
        <v>286</v>
      </c>
      <c r="K103" s="175">
        <v>24</v>
      </c>
      <c r="L103" s="235">
        <v>362185.49</v>
      </c>
      <c r="M103" s="235">
        <v>0</v>
      </c>
      <c r="N103" s="224">
        <v>217311.30195999992</v>
      </c>
      <c r="O103" s="224">
        <v>72437.09402000002</v>
      </c>
      <c r="P103" s="224">
        <v>72437.09402000002</v>
      </c>
      <c r="Q103" s="103" t="s">
        <v>387</v>
      </c>
      <c r="R103" s="104" t="s">
        <v>303</v>
      </c>
      <c r="S103" s="124"/>
      <c r="T103" s="55" t="b">
        <f>L103='раздел 4'!C106</f>
        <v>1</v>
      </c>
      <c r="U103" s="55">
        <f>'раздел 4'!C106-раздел3!N103-раздел3!O103-раздел3!P103</f>
        <v>0</v>
      </c>
      <c r="V103" s="55">
        <f>L103-'раздел 4'!C106</f>
        <v>0</v>
      </c>
      <c r="Z103" s="212">
        <f t="shared" si="19"/>
        <v>0</v>
      </c>
    </row>
    <row r="104" spans="1:26" s="24" customFormat="1" ht="15">
      <c r="A104" s="8">
        <f t="shared" si="24"/>
        <v>58</v>
      </c>
      <c r="B104" s="40" t="s">
        <v>147</v>
      </c>
      <c r="C104" s="123">
        <v>1963</v>
      </c>
      <c r="D104" s="224"/>
      <c r="E104" s="102" t="s">
        <v>158</v>
      </c>
      <c r="F104" s="136">
        <v>4</v>
      </c>
      <c r="G104" s="8">
        <v>3</v>
      </c>
      <c r="H104" s="172">
        <v>3616.01</v>
      </c>
      <c r="I104" s="224">
        <v>2038.31</v>
      </c>
      <c r="J104" s="102">
        <v>1646.33</v>
      </c>
      <c r="K104" s="175">
        <v>94</v>
      </c>
      <c r="L104" s="235">
        <v>515416.57</v>
      </c>
      <c r="M104" s="235">
        <v>0</v>
      </c>
      <c r="N104" s="224">
        <v>309249.94200000004</v>
      </c>
      <c r="O104" s="224">
        <v>103083.31400000001</v>
      </c>
      <c r="P104" s="224">
        <v>103083.31399999995</v>
      </c>
      <c r="Q104" s="103" t="s">
        <v>387</v>
      </c>
      <c r="R104" s="104" t="s">
        <v>303</v>
      </c>
      <c r="S104" s="124"/>
      <c r="T104" s="55" t="b">
        <f>L104='раздел 4'!C107</f>
        <v>1</v>
      </c>
      <c r="U104" s="55">
        <f>'раздел 4'!C107-раздел3!N104-раздел3!O104-раздел3!P104</f>
        <v>0</v>
      </c>
      <c r="V104" s="55">
        <f>L104-'раздел 4'!C107</f>
        <v>0</v>
      </c>
      <c r="Z104" s="212">
        <f t="shared" si="19"/>
        <v>0</v>
      </c>
    </row>
    <row r="105" spans="1:26" s="24" customFormat="1" ht="15">
      <c r="A105" s="8">
        <f t="shared" si="24"/>
        <v>59</v>
      </c>
      <c r="B105" s="40" t="s">
        <v>148</v>
      </c>
      <c r="C105" s="123">
        <v>1960</v>
      </c>
      <c r="D105" s="7"/>
      <c r="E105" s="102" t="s">
        <v>158</v>
      </c>
      <c r="F105" s="136">
        <v>3</v>
      </c>
      <c r="G105" s="8">
        <v>3</v>
      </c>
      <c r="H105" s="172">
        <v>2433.9</v>
      </c>
      <c r="I105" s="224">
        <v>1514.4</v>
      </c>
      <c r="J105" s="102">
        <v>1150.4</v>
      </c>
      <c r="K105" s="175">
        <v>84</v>
      </c>
      <c r="L105" s="235">
        <v>697860.31</v>
      </c>
      <c r="M105" s="235">
        <v>0</v>
      </c>
      <c r="N105" s="224">
        <v>418716.18600000005</v>
      </c>
      <c r="O105" s="224">
        <v>139572.062</v>
      </c>
      <c r="P105" s="224">
        <v>139572.06200000006</v>
      </c>
      <c r="Q105" s="103" t="s">
        <v>387</v>
      </c>
      <c r="R105" s="104" t="s">
        <v>303</v>
      </c>
      <c r="S105" s="124"/>
      <c r="T105" s="55" t="b">
        <f>L105='раздел 4'!C108</f>
        <v>1</v>
      </c>
      <c r="U105" s="55">
        <f>'раздел 4'!C108-раздел3!N105-раздел3!O105-раздел3!P105</f>
        <v>0</v>
      </c>
      <c r="V105" s="55">
        <f>L105-'раздел 4'!C108</f>
        <v>0</v>
      </c>
      <c r="Z105" s="212">
        <f t="shared" si="19"/>
        <v>0</v>
      </c>
    </row>
    <row r="106" spans="1:26" s="24" customFormat="1" ht="15">
      <c r="A106" s="8">
        <f t="shared" si="24"/>
        <v>60</v>
      </c>
      <c r="B106" s="38" t="s">
        <v>149</v>
      </c>
      <c r="C106" s="123">
        <v>1917</v>
      </c>
      <c r="D106" s="7"/>
      <c r="E106" s="102" t="s">
        <v>159</v>
      </c>
      <c r="F106" s="136">
        <v>2</v>
      </c>
      <c r="G106" s="8">
        <v>1</v>
      </c>
      <c r="H106" s="172">
        <v>453.21</v>
      </c>
      <c r="I106" s="224">
        <v>255.6</v>
      </c>
      <c r="J106" s="102">
        <v>255.6</v>
      </c>
      <c r="K106" s="175">
        <v>23</v>
      </c>
      <c r="L106" s="235">
        <v>244633.09</v>
      </c>
      <c r="M106" s="235">
        <v>0</v>
      </c>
      <c r="N106" s="224">
        <v>146779.85</v>
      </c>
      <c r="O106" s="224">
        <v>48926.62</v>
      </c>
      <c r="P106" s="224">
        <v>48926.61999999999</v>
      </c>
      <c r="Q106" s="103" t="s">
        <v>387</v>
      </c>
      <c r="R106" s="104" t="s">
        <v>303</v>
      </c>
      <c r="S106" s="124"/>
      <c r="T106" s="55" t="b">
        <f>L106='раздел 4'!C109</f>
        <v>1</v>
      </c>
      <c r="U106" s="55">
        <f>'раздел 4'!C109-раздел3!N106-раздел3!O106-раздел3!P106</f>
        <v>0</v>
      </c>
      <c r="V106" s="55">
        <f>L106-'раздел 4'!C109</f>
        <v>0</v>
      </c>
      <c r="Z106" s="212">
        <f t="shared" si="19"/>
        <v>0</v>
      </c>
    </row>
    <row r="107" spans="1:26" s="24" customFormat="1" ht="15">
      <c r="A107" s="8">
        <f t="shared" si="24"/>
        <v>61</v>
      </c>
      <c r="B107" s="38" t="s">
        <v>150</v>
      </c>
      <c r="C107" s="8">
        <v>1990</v>
      </c>
      <c r="D107" s="102"/>
      <c r="E107" s="102" t="s">
        <v>31</v>
      </c>
      <c r="F107" s="8">
        <v>9</v>
      </c>
      <c r="G107" s="8">
        <v>4</v>
      </c>
      <c r="H107" s="102">
        <v>12490.5</v>
      </c>
      <c r="I107" s="235">
        <v>8069.9</v>
      </c>
      <c r="J107" s="235">
        <v>7353.31</v>
      </c>
      <c r="K107" s="174">
        <v>350</v>
      </c>
      <c r="L107" s="235">
        <v>640524.65</v>
      </c>
      <c r="M107" s="235">
        <v>0</v>
      </c>
      <c r="N107" s="224">
        <v>384314.79357999994</v>
      </c>
      <c r="O107" s="224">
        <v>128104.92821000003</v>
      </c>
      <c r="P107" s="224">
        <v>128104.92821000003</v>
      </c>
      <c r="Q107" s="103" t="s">
        <v>387</v>
      </c>
      <c r="R107" s="104" t="s">
        <v>303</v>
      </c>
      <c r="S107" s="124"/>
      <c r="T107" s="55" t="b">
        <f>L107='раздел 4'!C110</f>
        <v>1</v>
      </c>
      <c r="U107" s="55">
        <f>'раздел 4'!C110-раздел3!N107-раздел3!O107-раздел3!P107</f>
        <v>0</v>
      </c>
      <c r="V107" s="55">
        <f>L107-'раздел 4'!C110</f>
        <v>0</v>
      </c>
      <c r="Z107" s="212">
        <f t="shared" si="19"/>
        <v>0</v>
      </c>
    </row>
    <row r="108" spans="1:26" s="24" customFormat="1" ht="15">
      <c r="A108" s="8">
        <f t="shared" si="24"/>
        <v>62</v>
      </c>
      <c r="B108" s="38" t="s">
        <v>151</v>
      </c>
      <c r="C108" s="8">
        <v>1990</v>
      </c>
      <c r="D108" s="102"/>
      <c r="E108" s="102" t="s">
        <v>158</v>
      </c>
      <c r="F108" s="8">
        <v>7</v>
      </c>
      <c r="G108" s="8">
        <v>1</v>
      </c>
      <c r="H108" s="102">
        <v>2965</v>
      </c>
      <c r="I108" s="235">
        <v>1538.3</v>
      </c>
      <c r="J108" s="235">
        <v>1504</v>
      </c>
      <c r="K108" s="174">
        <v>77</v>
      </c>
      <c r="L108" s="235">
        <v>203484.9</v>
      </c>
      <c r="M108" s="235">
        <v>0</v>
      </c>
      <c r="N108" s="224">
        <v>122090.93284</v>
      </c>
      <c r="O108" s="224">
        <v>40696.98358</v>
      </c>
      <c r="P108" s="224">
        <v>40696.983579999986</v>
      </c>
      <c r="Q108" s="103" t="s">
        <v>387</v>
      </c>
      <c r="R108" s="104" t="s">
        <v>303</v>
      </c>
      <c r="S108" s="124"/>
      <c r="T108" s="55" t="b">
        <f>L108='раздел 4'!C111</f>
        <v>1</v>
      </c>
      <c r="U108" s="55">
        <f>'раздел 4'!C111-раздел3!N108-раздел3!O108-раздел3!P108</f>
        <v>0</v>
      </c>
      <c r="V108" s="55">
        <f>L108-'раздел 4'!C111</f>
        <v>0</v>
      </c>
      <c r="Z108" s="212">
        <f t="shared" si="19"/>
        <v>0</v>
      </c>
    </row>
    <row r="109" spans="1:26" s="24" customFormat="1" ht="15">
      <c r="A109" s="8">
        <f t="shared" si="24"/>
        <v>63</v>
      </c>
      <c r="B109" s="38" t="s">
        <v>152</v>
      </c>
      <c r="C109" s="8">
        <v>1989</v>
      </c>
      <c r="D109" s="102"/>
      <c r="E109" s="102" t="s">
        <v>158</v>
      </c>
      <c r="F109" s="8">
        <v>9</v>
      </c>
      <c r="G109" s="8">
        <v>2</v>
      </c>
      <c r="H109" s="102">
        <v>7847.28</v>
      </c>
      <c r="I109" s="235">
        <v>3564.75</v>
      </c>
      <c r="J109" s="235">
        <v>3233.18</v>
      </c>
      <c r="K109" s="174">
        <v>159</v>
      </c>
      <c r="L109" s="235">
        <v>412389.85</v>
      </c>
      <c r="M109" s="235">
        <v>0</v>
      </c>
      <c r="N109" s="224">
        <v>247433.90642000004</v>
      </c>
      <c r="O109" s="224">
        <v>82477.97178999997</v>
      </c>
      <c r="P109" s="224">
        <v>82477.97178999997</v>
      </c>
      <c r="Q109" s="103" t="s">
        <v>387</v>
      </c>
      <c r="R109" s="104" t="s">
        <v>303</v>
      </c>
      <c r="S109" s="124"/>
      <c r="T109" s="55" t="b">
        <f>L109='раздел 4'!C112</f>
        <v>1</v>
      </c>
      <c r="U109" s="55">
        <f>'раздел 4'!C112-раздел3!N109-раздел3!O109-раздел3!P109</f>
        <v>0</v>
      </c>
      <c r="V109" s="55">
        <f>L109-'раздел 4'!C112</f>
        <v>0</v>
      </c>
      <c r="Z109" s="212">
        <f t="shared" si="19"/>
        <v>0</v>
      </c>
    </row>
    <row r="110" spans="1:26" s="24" customFormat="1" ht="15">
      <c r="A110" s="8">
        <f t="shared" si="24"/>
        <v>64</v>
      </c>
      <c r="B110" s="40" t="s">
        <v>153</v>
      </c>
      <c r="C110" s="123">
        <v>1917</v>
      </c>
      <c r="D110" s="7"/>
      <c r="E110" s="102" t="s">
        <v>159</v>
      </c>
      <c r="F110" s="136">
        <v>2</v>
      </c>
      <c r="G110" s="8">
        <v>1</v>
      </c>
      <c r="H110" s="172">
        <v>526.5</v>
      </c>
      <c r="I110" s="224">
        <v>284.57</v>
      </c>
      <c r="J110" s="102">
        <v>211.63</v>
      </c>
      <c r="K110" s="175">
        <v>15</v>
      </c>
      <c r="L110" s="235">
        <v>372033.42000000004</v>
      </c>
      <c r="M110" s="235">
        <v>0</v>
      </c>
      <c r="N110" s="224">
        <v>223220.0440399999</v>
      </c>
      <c r="O110" s="224">
        <v>74406.68798000005</v>
      </c>
      <c r="P110" s="224">
        <v>74406.68798000005</v>
      </c>
      <c r="Q110" s="103" t="s">
        <v>387</v>
      </c>
      <c r="R110" s="104" t="s">
        <v>303</v>
      </c>
      <c r="S110" s="124"/>
      <c r="T110" s="55" t="b">
        <f>L110='раздел 4'!C113</f>
        <v>1</v>
      </c>
      <c r="U110" s="55">
        <f>'раздел 4'!C113-раздел3!N110-раздел3!O110-раздел3!P110</f>
        <v>0</v>
      </c>
      <c r="V110" s="55">
        <f>L110-'раздел 4'!C113</f>
        <v>0</v>
      </c>
      <c r="Z110" s="212">
        <f t="shared" si="19"/>
        <v>0</v>
      </c>
    </row>
    <row r="111" spans="1:26" s="24" customFormat="1" ht="15">
      <c r="A111" s="8">
        <f t="shared" si="24"/>
        <v>65</v>
      </c>
      <c r="B111" s="38" t="s">
        <v>154</v>
      </c>
      <c r="C111" s="123">
        <v>1917</v>
      </c>
      <c r="D111" s="54"/>
      <c r="E111" s="102" t="s">
        <v>159</v>
      </c>
      <c r="F111" s="136">
        <v>2</v>
      </c>
      <c r="G111" s="8">
        <v>1</v>
      </c>
      <c r="H111" s="172">
        <v>855.7</v>
      </c>
      <c r="I111" s="224">
        <v>537.7</v>
      </c>
      <c r="J111" s="102">
        <v>484</v>
      </c>
      <c r="K111" s="175">
        <v>22</v>
      </c>
      <c r="L111" s="235">
        <v>304180.55</v>
      </c>
      <c r="M111" s="235">
        <v>0</v>
      </c>
      <c r="N111" s="224">
        <v>182508.33</v>
      </c>
      <c r="O111" s="224">
        <v>60836.11</v>
      </c>
      <c r="P111" s="224">
        <v>60836.109999999986</v>
      </c>
      <c r="Q111" s="103" t="s">
        <v>387</v>
      </c>
      <c r="R111" s="104" t="s">
        <v>303</v>
      </c>
      <c r="S111" s="124"/>
      <c r="T111" s="55" t="b">
        <f>L111='раздел 4'!C114</f>
        <v>1</v>
      </c>
      <c r="U111" s="55">
        <f>'раздел 4'!C114-раздел3!N111-раздел3!O111-раздел3!P111</f>
        <v>0</v>
      </c>
      <c r="V111" s="55">
        <f>L111-'раздел 4'!C114</f>
        <v>0</v>
      </c>
      <c r="Z111" s="212">
        <f t="shared" si="19"/>
        <v>0</v>
      </c>
    </row>
    <row r="112" spans="1:26" s="24" customFormat="1" ht="15">
      <c r="A112" s="8">
        <f t="shared" si="24"/>
        <v>66</v>
      </c>
      <c r="B112" s="38" t="s">
        <v>155</v>
      </c>
      <c r="C112" s="123">
        <v>1917</v>
      </c>
      <c r="D112" s="54"/>
      <c r="E112" s="102" t="s">
        <v>159</v>
      </c>
      <c r="F112" s="136">
        <v>2</v>
      </c>
      <c r="G112" s="8">
        <v>2</v>
      </c>
      <c r="H112" s="172">
        <v>744.6</v>
      </c>
      <c r="I112" s="224">
        <v>481.5</v>
      </c>
      <c r="J112" s="102">
        <v>167</v>
      </c>
      <c r="K112" s="175">
        <v>23</v>
      </c>
      <c r="L112" s="235">
        <v>447417.70999999996</v>
      </c>
      <c r="M112" s="235">
        <v>0</v>
      </c>
      <c r="N112" s="224">
        <v>268450.62202</v>
      </c>
      <c r="O112" s="224">
        <v>89483.54399</v>
      </c>
      <c r="P112" s="224">
        <v>89483.54398999998</v>
      </c>
      <c r="Q112" s="103" t="s">
        <v>387</v>
      </c>
      <c r="R112" s="104" t="s">
        <v>303</v>
      </c>
      <c r="S112" s="124"/>
      <c r="T112" s="55" t="b">
        <f>L112='раздел 4'!C115</f>
        <v>1</v>
      </c>
      <c r="U112" s="55">
        <f>'раздел 4'!C115-раздел3!N112-раздел3!O112-раздел3!P112</f>
        <v>0</v>
      </c>
      <c r="V112" s="55">
        <f>L112-'раздел 4'!C115</f>
        <v>0</v>
      </c>
      <c r="Z112" s="212">
        <f t="shared" si="19"/>
        <v>0</v>
      </c>
    </row>
    <row r="113" spans="1:26" s="24" customFormat="1" ht="15">
      <c r="A113" s="8">
        <f t="shared" si="24"/>
        <v>67</v>
      </c>
      <c r="B113" s="38" t="s">
        <v>156</v>
      </c>
      <c r="C113" s="123">
        <v>1917</v>
      </c>
      <c r="D113" s="54"/>
      <c r="E113" s="102" t="s">
        <v>159</v>
      </c>
      <c r="F113" s="136">
        <v>2</v>
      </c>
      <c r="G113" s="8">
        <v>2</v>
      </c>
      <c r="H113" s="172">
        <v>647.49</v>
      </c>
      <c r="I113" s="224">
        <v>347.68</v>
      </c>
      <c r="J113" s="102">
        <v>203.3</v>
      </c>
      <c r="K113" s="175">
        <v>24</v>
      </c>
      <c r="L113" s="235">
        <v>454956.15</v>
      </c>
      <c r="M113" s="235">
        <v>0</v>
      </c>
      <c r="N113" s="224">
        <v>272973.69398000004</v>
      </c>
      <c r="O113" s="224">
        <v>90991.22801</v>
      </c>
      <c r="P113" s="224">
        <v>90991.22801</v>
      </c>
      <c r="Q113" s="103" t="s">
        <v>387</v>
      </c>
      <c r="R113" s="104" t="s">
        <v>303</v>
      </c>
      <c r="S113" s="124"/>
      <c r="T113" s="55" t="b">
        <f>L113='раздел 4'!C116</f>
        <v>1</v>
      </c>
      <c r="U113" s="55">
        <f>'раздел 4'!C116-раздел3!N113-раздел3!O113-раздел3!P113</f>
        <v>0</v>
      </c>
      <c r="V113" s="55">
        <f>L113-'раздел 4'!C116</f>
        <v>0</v>
      </c>
      <c r="Z113" s="212">
        <f t="shared" si="19"/>
        <v>0</v>
      </c>
    </row>
    <row r="114" spans="1:26" s="24" customFormat="1" ht="15">
      <c r="A114" s="8">
        <f t="shared" si="24"/>
        <v>68</v>
      </c>
      <c r="B114" s="38" t="s">
        <v>157</v>
      </c>
      <c r="C114" s="123">
        <v>1917</v>
      </c>
      <c r="D114" s="54"/>
      <c r="E114" s="102" t="s">
        <v>159</v>
      </c>
      <c r="F114" s="136">
        <v>2</v>
      </c>
      <c r="G114" s="8">
        <v>1</v>
      </c>
      <c r="H114" s="172">
        <v>494.6</v>
      </c>
      <c r="I114" s="224">
        <v>196.5</v>
      </c>
      <c r="J114" s="102">
        <v>196.5</v>
      </c>
      <c r="K114" s="175">
        <v>5</v>
      </c>
      <c r="L114" s="235">
        <v>339598.28</v>
      </c>
      <c r="M114" s="235">
        <v>0</v>
      </c>
      <c r="N114" s="224">
        <v>203758.96800000005</v>
      </c>
      <c r="O114" s="224">
        <v>67919.65600000002</v>
      </c>
      <c r="P114" s="224">
        <v>67919.65599999999</v>
      </c>
      <c r="Q114" s="103" t="s">
        <v>387</v>
      </c>
      <c r="R114" s="104" t="s">
        <v>303</v>
      </c>
      <c r="S114" s="124"/>
      <c r="T114" s="55" t="b">
        <f>L114='раздел 4'!C117</f>
        <v>1</v>
      </c>
      <c r="U114" s="55">
        <f>'раздел 4'!C117-раздел3!N114-раздел3!O114-раздел3!P114</f>
        <v>0</v>
      </c>
      <c r="V114" s="55">
        <f>L114-'раздел 4'!C117</f>
        <v>0</v>
      </c>
      <c r="Z114" s="212">
        <f t="shared" si="19"/>
        <v>0</v>
      </c>
    </row>
    <row r="115" spans="1:26" s="24" customFormat="1" ht="15">
      <c r="A115" s="253" t="s">
        <v>60</v>
      </c>
      <c r="B115" s="253"/>
      <c r="C115" s="102" t="s">
        <v>33</v>
      </c>
      <c r="D115" s="102" t="s">
        <v>33</v>
      </c>
      <c r="E115" s="102" t="s">
        <v>33</v>
      </c>
      <c r="F115" s="102" t="s">
        <v>33</v>
      </c>
      <c r="G115" s="102" t="s">
        <v>33</v>
      </c>
      <c r="H115" s="77">
        <f aca="true" t="shared" si="25" ref="H115:P115">SUM(H97:H114)</f>
        <v>68154.83000000002</v>
      </c>
      <c r="I115" s="77">
        <f t="shared" si="25"/>
        <v>37088.05</v>
      </c>
      <c r="J115" s="77">
        <f t="shared" si="25"/>
        <v>33525.79000000001</v>
      </c>
      <c r="K115" s="79">
        <f t="shared" si="25"/>
        <v>1641</v>
      </c>
      <c r="L115" s="77">
        <f>SUM(L97:L114)</f>
        <v>8450106.68</v>
      </c>
      <c r="M115" s="77">
        <f t="shared" si="25"/>
        <v>0</v>
      </c>
      <c r="N115" s="77">
        <f t="shared" si="25"/>
        <v>5070063.992799999</v>
      </c>
      <c r="O115" s="77">
        <f t="shared" si="25"/>
        <v>1690021.3436</v>
      </c>
      <c r="P115" s="77">
        <f t="shared" si="25"/>
        <v>1690021.3435999998</v>
      </c>
      <c r="Q115" s="224" t="s">
        <v>33</v>
      </c>
      <c r="R115" s="102" t="s">
        <v>33</v>
      </c>
      <c r="S115" s="105">
        <f>L115-N115-O115-P115</f>
        <v>0</v>
      </c>
      <c r="T115" s="55" t="b">
        <f>L115='раздел 4'!C118</f>
        <v>1</v>
      </c>
      <c r="U115" s="55">
        <f>'раздел 4'!C118-раздел3!N115-раздел3!O115-раздел3!P115</f>
        <v>0</v>
      </c>
      <c r="V115" s="55">
        <f>L115-'раздел 4'!C118</f>
        <v>0</v>
      </c>
      <c r="Z115" s="212">
        <f t="shared" si="19"/>
        <v>0</v>
      </c>
    </row>
    <row r="116" spans="1:26" s="24" customFormat="1" ht="15" customHeight="1">
      <c r="A116" s="276" t="s">
        <v>71</v>
      </c>
      <c r="B116" s="278"/>
      <c r="C116" s="102" t="s">
        <v>33</v>
      </c>
      <c r="D116" s="234" t="s">
        <v>33</v>
      </c>
      <c r="E116" s="234" t="s">
        <v>33</v>
      </c>
      <c r="F116" s="234" t="s">
        <v>33</v>
      </c>
      <c r="G116" s="234" t="s">
        <v>33</v>
      </c>
      <c r="H116" s="139">
        <f>H115+H95+H91</f>
        <v>95847.83000000002</v>
      </c>
      <c r="I116" s="139">
        <f>I115+I95+I91</f>
        <v>58002.950000000004</v>
      </c>
      <c r="J116" s="139">
        <f>J115+J95+J91</f>
        <v>52232.64000000001</v>
      </c>
      <c r="K116" s="170">
        <f>K115+K95+K91</f>
        <v>2631</v>
      </c>
      <c r="L116" s="139">
        <f>L91+L95+L115</f>
        <v>11134550.379999999</v>
      </c>
      <c r="M116" s="139">
        <f>M91+M95+M115</f>
        <v>0</v>
      </c>
      <c r="N116" s="139">
        <f>N91+N95+N115</f>
        <v>6680730.212819999</v>
      </c>
      <c r="O116" s="139">
        <f>O91+O95+O115</f>
        <v>2226910.08359</v>
      </c>
      <c r="P116" s="139">
        <f>P91+P95+P115</f>
        <v>2226910.08359</v>
      </c>
      <c r="Q116" s="224" t="s">
        <v>33</v>
      </c>
      <c r="R116" s="102" t="s">
        <v>33</v>
      </c>
      <c r="S116" s="105">
        <f>L116-N116-O116-P116</f>
        <v>0</v>
      </c>
      <c r="T116" s="55" t="b">
        <f>L116='раздел 4'!C119</f>
        <v>1</v>
      </c>
      <c r="U116" s="55">
        <f>'раздел 4'!C119-раздел3!N116-раздел3!O116-раздел3!P116</f>
        <v>0</v>
      </c>
      <c r="V116" s="55">
        <f>L116-'раздел 4'!C119</f>
        <v>0</v>
      </c>
      <c r="Z116" s="212">
        <f t="shared" si="19"/>
        <v>0</v>
      </c>
    </row>
    <row r="117" spans="1:26" s="24" customFormat="1" ht="15">
      <c r="A117" s="271" t="s">
        <v>350</v>
      </c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3"/>
      <c r="S117" s="221"/>
      <c r="T117" s="55" t="b">
        <f>L117='раздел 4'!C120</f>
        <v>1</v>
      </c>
      <c r="U117" s="55">
        <f>'раздел 4'!C120-раздел3!N117-раздел3!O117-раздел3!P117</f>
        <v>0</v>
      </c>
      <c r="V117" s="55">
        <f>L117-'раздел 4'!C120</f>
        <v>0</v>
      </c>
      <c r="Z117" s="212">
        <f t="shared" si="19"/>
        <v>0</v>
      </c>
    </row>
    <row r="118" spans="1:26" s="24" customFormat="1" ht="15">
      <c r="A118" s="264" t="s">
        <v>257</v>
      </c>
      <c r="B118" s="265"/>
      <c r="C118" s="266"/>
      <c r="D118" s="232"/>
      <c r="E118" s="232"/>
      <c r="F118" s="232"/>
      <c r="G118" s="232"/>
      <c r="H118" s="129"/>
      <c r="I118" s="129"/>
      <c r="J118" s="129"/>
      <c r="K118" s="137"/>
      <c r="L118" s="128"/>
      <c r="M118" s="128"/>
      <c r="N118" s="128"/>
      <c r="O118" s="128"/>
      <c r="P118" s="128"/>
      <c r="Q118" s="129"/>
      <c r="R118" s="130"/>
      <c r="S118" s="127"/>
      <c r="T118" s="55" t="b">
        <f>L118='раздел 4'!C121</f>
        <v>1</v>
      </c>
      <c r="U118" s="55">
        <f>'раздел 4'!C121-раздел3!N118-раздел3!O118-раздел3!P118</f>
        <v>0</v>
      </c>
      <c r="V118" s="55">
        <f>L118-'раздел 4'!C121</f>
        <v>0</v>
      </c>
      <c r="W118" s="44" t="s">
        <v>285</v>
      </c>
      <c r="Z118" s="212">
        <f t="shared" si="19"/>
        <v>0</v>
      </c>
    </row>
    <row r="119" spans="1:26" s="24" customFormat="1" ht="15">
      <c r="A119" s="8">
        <f>A114+1</f>
        <v>69</v>
      </c>
      <c r="B119" s="112" t="s">
        <v>205</v>
      </c>
      <c r="C119" s="78">
        <v>1974</v>
      </c>
      <c r="D119" s="226"/>
      <c r="E119" s="231" t="s">
        <v>26</v>
      </c>
      <c r="F119" s="78">
        <v>2</v>
      </c>
      <c r="G119" s="78">
        <v>1</v>
      </c>
      <c r="H119" s="78">
        <v>333.8</v>
      </c>
      <c r="I119" s="78">
        <v>298.1</v>
      </c>
      <c r="J119" s="78">
        <v>261.1</v>
      </c>
      <c r="K119" s="126">
        <v>22</v>
      </c>
      <c r="L119" s="235">
        <f>'раздел 4'!C122</f>
        <v>139506.75</v>
      </c>
      <c r="M119" s="235">
        <v>0</v>
      </c>
      <c r="N119" s="224">
        <v>83704.05</v>
      </c>
      <c r="O119" s="224">
        <v>27901.35</v>
      </c>
      <c r="P119" s="224">
        <f>L119-N119-O119</f>
        <v>27901.35</v>
      </c>
      <c r="Q119" s="103" t="s">
        <v>387</v>
      </c>
      <c r="R119" s="104" t="s">
        <v>303</v>
      </c>
      <c r="S119" s="124"/>
      <c r="T119" s="55" t="b">
        <f>L119='раздел 4'!C122</f>
        <v>1</v>
      </c>
      <c r="U119" s="55">
        <f>'раздел 4'!C122-раздел3!N119-раздел3!O119-раздел3!P119</f>
        <v>0</v>
      </c>
      <c r="V119" s="55">
        <f>L119-'раздел 4'!C122</f>
        <v>0</v>
      </c>
      <c r="Z119" s="212">
        <f t="shared" si="19"/>
        <v>0</v>
      </c>
    </row>
    <row r="120" spans="1:26" s="24" customFormat="1" ht="17.25" customHeight="1">
      <c r="A120" s="8">
        <f>A119+1</f>
        <v>70</v>
      </c>
      <c r="B120" s="112" t="s">
        <v>206</v>
      </c>
      <c r="C120" s="78">
        <v>1989</v>
      </c>
      <c r="D120" s="226"/>
      <c r="E120" s="231" t="s">
        <v>26</v>
      </c>
      <c r="F120" s="78">
        <v>3</v>
      </c>
      <c r="G120" s="78">
        <v>2</v>
      </c>
      <c r="H120" s="78">
        <v>1454.1</v>
      </c>
      <c r="I120" s="78">
        <v>1247.1</v>
      </c>
      <c r="J120" s="78">
        <v>1131.5</v>
      </c>
      <c r="K120" s="126">
        <v>44</v>
      </c>
      <c r="L120" s="77">
        <f>'раздел 4'!C123</f>
        <v>186738.13</v>
      </c>
      <c r="M120" s="77">
        <v>0</v>
      </c>
      <c r="N120" s="224">
        <v>112042.87</v>
      </c>
      <c r="O120" s="224">
        <v>37347.63</v>
      </c>
      <c r="P120" s="224">
        <f>L120-N120-O120</f>
        <v>37347.63000000001</v>
      </c>
      <c r="Q120" s="103" t="s">
        <v>387</v>
      </c>
      <c r="R120" s="117" t="s">
        <v>335</v>
      </c>
      <c r="S120" s="124"/>
      <c r="T120" s="55" t="b">
        <f>L120='раздел 4'!C123</f>
        <v>1</v>
      </c>
      <c r="U120" s="55">
        <f>'раздел 4'!C123-раздел3!N120-раздел3!O120-раздел3!P120</f>
        <v>0</v>
      </c>
      <c r="V120" s="55">
        <f>L120-'раздел 4'!C123</f>
        <v>0</v>
      </c>
      <c r="Z120" s="212">
        <f t="shared" si="19"/>
        <v>0</v>
      </c>
    </row>
    <row r="121" spans="1:26" s="24" customFormat="1" ht="15">
      <c r="A121" s="274" t="s">
        <v>60</v>
      </c>
      <c r="B121" s="274"/>
      <c r="C121" s="102" t="s">
        <v>33</v>
      </c>
      <c r="D121" s="102" t="s">
        <v>33</v>
      </c>
      <c r="E121" s="102" t="s">
        <v>33</v>
      </c>
      <c r="F121" s="102" t="s">
        <v>33</v>
      </c>
      <c r="G121" s="102" t="s">
        <v>33</v>
      </c>
      <c r="H121" s="77">
        <f aca="true" t="shared" si="26" ref="H121:P121">SUM(H119:H120)</f>
        <v>1787.8999999999999</v>
      </c>
      <c r="I121" s="77">
        <f t="shared" si="26"/>
        <v>1545.1999999999998</v>
      </c>
      <c r="J121" s="77">
        <f t="shared" si="26"/>
        <v>1392.6</v>
      </c>
      <c r="K121" s="126">
        <f t="shared" si="26"/>
        <v>66</v>
      </c>
      <c r="L121" s="77">
        <f>L119+L120</f>
        <v>326244.88</v>
      </c>
      <c r="M121" s="77">
        <f t="shared" si="26"/>
        <v>0</v>
      </c>
      <c r="N121" s="77">
        <f t="shared" si="26"/>
        <v>195746.91999999998</v>
      </c>
      <c r="O121" s="77">
        <f t="shared" si="26"/>
        <v>65248.979999999996</v>
      </c>
      <c r="P121" s="77">
        <f t="shared" si="26"/>
        <v>65248.98000000001</v>
      </c>
      <c r="Q121" s="224" t="s">
        <v>33</v>
      </c>
      <c r="R121" s="102" t="s">
        <v>33</v>
      </c>
      <c r="S121" s="138"/>
      <c r="T121" s="55" t="b">
        <f>L121='раздел 4'!C124</f>
        <v>1</v>
      </c>
      <c r="U121" s="55">
        <f>'раздел 4'!C124-раздел3!N121-раздел3!O121-раздел3!P121</f>
        <v>0</v>
      </c>
      <c r="V121" s="55">
        <f>L121-'раздел 4'!C124</f>
        <v>0</v>
      </c>
      <c r="Z121" s="212">
        <f t="shared" si="19"/>
        <v>0</v>
      </c>
    </row>
    <row r="122" spans="1:26" s="47" customFormat="1" ht="14.25" customHeight="1">
      <c r="A122" s="276" t="s">
        <v>283</v>
      </c>
      <c r="B122" s="277"/>
      <c r="C122" s="102" t="s">
        <v>33</v>
      </c>
      <c r="D122" s="234" t="s">
        <v>33</v>
      </c>
      <c r="E122" s="234" t="s">
        <v>33</v>
      </c>
      <c r="F122" s="234" t="s">
        <v>33</v>
      </c>
      <c r="G122" s="234" t="s">
        <v>33</v>
      </c>
      <c r="H122" s="139">
        <f>H121</f>
        <v>1787.8999999999999</v>
      </c>
      <c r="I122" s="139">
        <f aca="true" t="shared" si="27" ref="I122:P122">I121</f>
        <v>1545.1999999999998</v>
      </c>
      <c r="J122" s="139">
        <f t="shared" si="27"/>
        <v>1392.6</v>
      </c>
      <c r="K122" s="140">
        <f t="shared" si="27"/>
        <v>66</v>
      </c>
      <c r="L122" s="139">
        <f t="shared" si="27"/>
        <v>326244.88</v>
      </c>
      <c r="M122" s="139">
        <f t="shared" si="27"/>
        <v>0</v>
      </c>
      <c r="N122" s="139">
        <f t="shared" si="27"/>
        <v>195746.91999999998</v>
      </c>
      <c r="O122" s="139">
        <f t="shared" si="27"/>
        <v>65248.979999999996</v>
      </c>
      <c r="P122" s="139">
        <f t="shared" si="27"/>
        <v>65248.98000000001</v>
      </c>
      <c r="Q122" s="224" t="s">
        <v>33</v>
      </c>
      <c r="R122" s="102" t="s">
        <v>33</v>
      </c>
      <c r="S122" s="105">
        <f>L122-N122-O122-P122</f>
        <v>0</v>
      </c>
      <c r="T122" s="55" t="b">
        <f>L122='раздел 4'!C125</f>
        <v>1</v>
      </c>
      <c r="U122" s="55">
        <f>'раздел 4'!C125-раздел3!N122-раздел3!O122-раздел3!P122</f>
        <v>0</v>
      </c>
      <c r="V122" s="55">
        <f>L122-'раздел 4'!C125</f>
        <v>0</v>
      </c>
      <c r="Z122" s="212">
        <f t="shared" si="19"/>
        <v>0</v>
      </c>
    </row>
    <row r="123" spans="1:26" s="24" customFormat="1" ht="15">
      <c r="A123" s="271" t="s">
        <v>72</v>
      </c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3"/>
      <c r="S123" s="221"/>
      <c r="T123" s="55" t="b">
        <f>L123='раздел 4'!C126</f>
        <v>1</v>
      </c>
      <c r="U123" s="55">
        <f>'раздел 4'!C126-раздел3!N123-раздел3!O123-раздел3!P123</f>
        <v>0</v>
      </c>
      <c r="V123" s="55">
        <f>L123-'раздел 4'!C126</f>
        <v>0</v>
      </c>
      <c r="Z123" s="212">
        <f t="shared" si="19"/>
        <v>0</v>
      </c>
    </row>
    <row r="124" spans="1:26" s="101" customFormat="1" ht="15">
      <c r="A124" s="264" t="s">
        <v>73</v>
      </c>
      <c r="B124" s="265"/>
      <c r="C124" s="266"/>
      <c r="D124" s="231"/>
      <c r="E124" s="231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14"/>
      <c r="T124" s="55" t="b">
        <f>L124='раздел 4'!C127</f>
        <v>1</v>
      </c>
      <c r="U124" s="55">
        <f>'раздел 4'!C127-раздел3!N124-раздел3!O124-раздел3!P124</f>
        <v>0</v>
      </c>
      <c r="V124" s="55">
        <f>L124-'раздел 4'!C127</f>
        <v>0</v>
      </c>
      <c r="W124" s="101" t="s">
        <v>209</v>
      </c>
      <c r="Z124" s="212">
        <f t="shared" si="19"/>
        <v>0</v>
      </c>
    </row>
    <row r="125" spans="1:26" s="101" customFormat="1" ht="15">
      <c r="A125" s="8">
        <f>A120+1</f>
        <v>71</v>
      </c>
      <c r="B125" s="27" t="s">
        <v>347</v>
      </c>
      <c r="C125" s="106">
        <v>1996</v>
      </c>
      <c r="D125" s="106"/>
      <c r="E125" s="106" t="s">
        <v>25</v>
      </c>
      <c r="F125" s="106">
        <v>9</v>
      </c>
      <c r="G125" s="106">
        <v>1</v>
      </c>
      <c r="H125" s="142">
        <v>2736.5</v>
      </c>
      <c r="I125" s="142">
        <v>2534.1</v>
      </c>
      <c r="J125" s="142">
        <v>2534.1</v>
      </c>
      <c r="K125" s="163">
        <v>98</v>
      </c>
      <c r="L125" s="142">
        <v>221850.11</v>
      </c>
      <c r="M125" s="224">
        <v>0</v>
      </c>
      <c r="N125" s="224">
        <v>133110.0668039997</v>
      </c>
      <c r="O125" s="224">
        <v>44370.02159800013</v>
      </c>
      <c r="P125" s="224">
        <v>44370.02159800013</v>
      </c>
      <c r="Q125" s="103" t="s">
        <v>387</v>
      </c>
      <c r="R125" s="104" t="s">
        <v>303</v>
      </c>
      <c r="S125" s="109"/>
      <c r="T125" s="55" t="b">
        <f>L125='раздел 4'!C128</f>
        <v>1</v>
      </c>
      <c r="U125" s="55">
        <f>'раздел 4'!C128-раздел3!N125-раздел3!O125-раздел3!P125</f>
        <v>0</v>
      </c>
      <c r="V125" s="55">
        <f>L125-'раздел 4'!C128</f>
        <v>0</v>
      </c>
      <c r="Z125" s="212">
        <f t="shared" si="19"/>
        <v>0</v>
      </c>
    </row>
    <row r="126" spans="1:26" s="101" customFormat="1" ht="15" customHeight="1">
      <c r="A126" s="7">
        <f>A125+1</f>
        <v>72</v>
      </c>
      <c r="B126" s="27" t="s">
        <v>348</v>
      </c>
      <c r="C126" s="106">
        <v>1986</v>
      </c>
      <c r="D126" s="106"/>
      <c r="E126" s="106" t="s">
        <v>25</v>
      </c>
      <c r="F126" s="106">
        <v>9</v>
      </c>
      <c r="G126" s="106">
        <v>3</v>
      </c>
      <c r="H126" s="142">
        <v>6537.3</v>
      </c>
      <c r="I126" s="142">
        <v>5628.4</v>
      </c>
      <c r="J126" s="142">
        <v>5628.4</v>
      </c>
      <c r="K126" s="163">
        <v>261</v>
      </c>
      <c r="L126" s="142">
        <v>345573.88</v>
      </c>
      <c r="M126" s="224">
        <v>0</v>
      </c>
      <c r="N126" s="224">
        <v>207344.32951103602</v>
      </c>
      <c r="O126" s="224">
        <v>69114.775244482</v>
      </c>
      <c r="P126" s="224">
        <v>69114.77524448198</v>
      </c>
      <c r="Q126" s="103" t="s">
        <v>387</v>
      </c>
      <c r="R126" s="104" t="s">
        <v>303</v>
      </c>
      <c r="S126" s="109"/>
      <c r="T126" s="55" t="b">
        <f>L126='раздел 4'!C129</f>
        <v>1</v>
      </c>
      <c r="U126" s="55">
        <f>'раздел 4'!C129-раздел3!N126-раздел3!O126-раздел3!P126</f>
        <v>0</v>
      </c>
      <c r="V126" s="55">
        <f>L126-'раздел 4'!C129</f>
        <v>0</v>
      </c>
      <c r="Z126" s="212">
        <f t="shared" si="19"/>
        <v>0</v>
      </c>
    </row>
    <row r="127" spans="1:26" s="101" customFormat="1" ht="15" customHeight="1">
      <c r="A127" s="7">
        <f>A126+1</f>
        <v>73</v>
      </c>
      <c r="B127" s="27" t="s">
        <v>374</v>
      </c>
      <c r="C127" s="106">
        <v>1994</v>
      </c>
      <c r="D127" s="106"/>
      <c r="E127" s="106" t="s">
        <v>25</v>
      </c>
      <c r="F127" s="106">
        <v>9</v>
      </c>
      <c r="G127" s="106">
        <v>1</v>
      </c>
      <c r="H127" s="142">
        <v>2426.1</v>
      </c>
      <c r="I127" s="142">
        <v>2147</v>
      </c>
      <c r="J127" s="142">
        <v>2147</v>
      </c>
      <c r="K127" s="163">
        <v>71</v>
      </c>
      <c r="L127" s="142">
        <v>186642.72</v>
      </c>
      <c r="M127" s="224">
        <v>0</v>
      </c>
      <c r="N127" s="224">
        <v>111985.632</v>
      </c>
      <c r="O127" s="224">
        <v>37328.543999999994</v>
      </c>
      <c r="P127" s="224">
        <v>37328.543999999994</v>
      </c>
      <c r="Q127" s="103" t="s">
        <v>387</v>
      </c>
      <c r="R127" s="104" t="s">
        <v>303</v>
      </c>
      <c r="S127" s="109"/>
      <c r="T127" s="55" t="b">
        <f>L127='раздел 4'!C130</f>
        <v>1</v>
      </c>
      <c r="U127" s="55">
        <f>'раздел 4'!C130-раздел3!N127-раздел3!O127-раздел3!P127</f>
        <v>0</v>
      </c>
      <c r="V127" s="55">
        <f>L127-'раздел 4'!C130</f>
        <v>0</v>
      </c>
      <c r="Z127" s="212">
        <f t="shared" si="19"/>
        <v>0</v>
      </c>
    </row>
    <row r="128" spans="1:26" s="101" customFormat="1" ht="15" customHeight="1">
      <c r="A128" s="7">
        <f>A127+1</f>
        <v>74</v>
      </c>
      <c r="B128" s="28" t="s">
        <v>375</v>
      </c>
      <c r="C128" s="106">
        <v>1993</v>
      </c>
      <c r="D128" s="106"/>
      <c r="E128" s="106" t="s">
        <v>25</v>
      </c>
      <c r="F128" s="106">
        <v>9</v>
      </c>
      <c r="G128" s="106">
        <v>2</v>
      </c>
      <c r="H128" s="142">
        <v>5223.7</v>
      </c>
      <c r="I128" s="142">
        <v>4642.3</v>
      </c>
      <c r="J128" s="142">
        <v>4642.3</v>
      </c>
      <c r="K128" s="163">
        <v>159</v>
      </c>
      <c r="L128" s="142">
        <v>288742.68</v>
      </c>
      <c r="M128" s="224">
        <v>0</v>
      </c>
      <c r="N128" s="224">
        <v>173245.60939519914</v>
      </c>
      <c r="O128" s="224">
        <v>57748.53530240041</v>
      </c>
      <c r="P128" s="224">
        <v>57748.535302400436</v>
      </c>
      <c r="Q128" s="103" t="s">
        <v>387</v>
      </c>
      <c r="R128" s="104" t="s">
        <v>303</v>
      </c>
      <c r="S128" s="109"/>
      <c r="T128" s="55" t="b">
        <f>L128='раздел 4'!C131</f>
        <v>1</v>
      </c>
      <c r="U128" s="55">
        <f>'раздел 4'!C131-раздел3!N128-раздел3!O128-раздел3!P128</f>
        <v>0</v>
      </c>
      <c r="V128" s="55">
        <f>L128-'раздел 4'!C131</f>
        <v>0</v>
      </c>
      <c r="Z128" s="212">
        <f t="shared" si="19"/>
        <v>0</v>
      </c>
    </row>
    <row r="129" spans="1:26" s="101" customFormat="1" ht="15" customHeight="1">
      <c r="A129" s="7">
        <f>A128+1</f>
        <v>75</v>
      </c>
      <c r="B129" s="29" t="s">
        <v>376</v>
      </c>
      <c r="C129" s="106">
        <v>1993</v>
      </c>
      <c r="D129" s="106"/>
      <c r="E129" s="106" t="s">
        <v>25</v>
      </c>
      <c r="F129" s="106">
        <v>9</v>
      </c>
      <c r="G129" s="106">
        <v>1</v>
      </c>
      <c r="H129" s="142">
        <v>4245.7</v>
      </c>
      <c r="I129" s="142">
        <v>3734.7</v>
      </c>
      <c r="J129" s="142">
        <v>3734.7</v>
      </c>
      <c r="K129" s="163">
        <v>131</v>
      </c>
      <c r="L129" s="142">
        <v>336329.88</v>
      </c>
      <c r="M129" s="224">
        <v>0</v>
      </c>
      <c r="N129" s="224">
        <v>201797.92462417152</v>
      </c>
      <c r="O129" s="224">
        <v>67265.97768791424</v>
      </c>
      <c r="P129" s="224">
        <v>67265.97768791424</v>
      </c>
      <c r="Q129" s="103" t="s">
        <v>387</v>
      </c>
      <c r="R129" s="104" t="s">
        <v>303</v>
      </c>
      <c r="S129" s="109"/>
      <c r="T129" s="55" t="b">
        <f>L129='раздел 4'!C132</f>
        <v>1</v>
      </c>
      <c r="U129" s="55">
        <f>'раздел 4'!C132-раздел3!N129-раздел3!O129-раздел3!P129</f>
        <v>0</v>
      </c>
      <c r="V129" s="55">
        <f>L129-'раздел 4'!C132</f>
        <v>0</v>
      </c>
      <c r="Z129" s="212">
        <f t="shared" si="19"/>
        <v>0</v>
      </c>
    </row>
    <row r="130" spans="1:26" s="101" customFormat="1" ht="15" customHeight="1">
      <c r="A130" s="7">
        <f>A129+1</f>
        <v>76</v>
      </c>
      <c r="B130" s="29" t="s">
        <v>377</v>
      </c>
      <c r="C130" s="106">
        <v>1990</v>
      </c>
      <c r="D130" s="106"/>
      <c r="E130" s="106" t="s">
        <v>25</v>
      </c>
      <c r="F130" s="106">
        <v>9</v>
      </c>
      <c r="G130" s="106">
        <v>1</v>
      </c>
      <c r="H130" s="142">
        <v>3261.4</v>
      </c>
      <c r="I130" s="142">
        <v>2712.9</v>
      </c>
      <c r="J130" s="142">
        <v>2712.9</v>
      </c>
      <c r="K130" s="163">
        <v>108</v>
      </c>
      <c r="L130" s="142">
        <v>266762.21</v>
      </c>
      <c r="M130" s="224">
        <v>0</v>
      </c>
      <c r="N130" s="224">
        <v>160057.32905961975</v>
      </c>
      <c r="O130" s="224">
        <v>53352.44047019014</v>
      </c>
      <c r="P130" s="224">
        <v>53352.44047019014</v>
      </c>
      <c r="Q130" s="103" t="s">
        <v>387</v>
      </c>
      <c r="R130" s="104" t="s">
        <v>303</v>
      </c>
      <c r="S130" s="109"/>
      <c r="T130" s="55" t="b">
        <f>L130='раздел 4'!C133</f>
        <v>1</v>
      </c>
      <c r="U130" s="55">
        <f>'раздел 4'!C133-раздел3!N130-раздел3!O130-раздел3!P130</f>
        <v>0</v>
      </c>
      <c r="V130" s="55">
        <f>L130-'раздел 4'!C133</f>
        <v>0</v>
      </c>
      <c r="Z130" s="212">
        <f t="shared" si="19"/>
        <v>0</v>
      </c>
    </row>
    <row r="131" spans="1:26" s="101" customFormat="1" ht="15" customHeight="1">
      <c r="A131" s="253" t="s">
        <v>60</v>
      </c>
      <c r="B131" s="253"/>
      <c r="C131" s="102" t="s">
        <v>33</v>
      </c>
      <c r="D131" s="102" t="s">
        <v>33</v>
      </c>
      <c r="E131" s="102" t="s">
        <v>33</v>
      </c>
      <c r="F131" s="102" t="s">
        <v>33</v>
      </c>
      <c r="G131" s="102" t="s">
        <v>33</v>
      </c>
      <c r="H131" s="224">
        <f aca="true" t="shared" si="28" ref="H131:P131">SUM(H125:H130)</f>
        <v>24430.7</v>
      </c>
      <c r="I131" s="224">
        <f t="shared" si="28"/>
        <v>21399.4</v>
      </c>
      <c r="J131" s="224">
        <f t="shared" si="28"/>
        <v>21399.4</v>
      </c>
      <c r="K131" s="7">
        <f t="shared" si="28"/>
        <v>828</v>
      </c>
      <c r="L131" s="224">
        <f t="shared" si="28"/>
        <v>1645901.48</v>
      </c>
      <c r="M131" s="224">
        <f t="shared" si="28"/>
        <v>0</v>
      </c>
      <c r="N131" s="224">
        <f t="shared" si="28"/>
        <v>987540.8913940261</v>
      </c>
      <c r="O131" s="224">
        <f t="shared" si="28"/>
        <v>329180.29430298693</v>
      </c>
      <c r="P131" s="224">
        <f t="shared" si="28"/>
        <v>329180.29430298693</v>
      </c>
      <c r="Q131" s="224" t="s">
        <v>33</v>
      </c>
      <c r="R131" s="102" t="s">
        <v>33</v>
      </c>
      <c r="S131" s="109"/>
      <c r="T131" s="55" t="b">
        <f>L131='раздел 4'!C134</f>
        <v>1</v>
      </c>
      <c r="U131" s="55">
        <f>'раздел 4'!C134-раздел3!N131-раздел3!O131-раздел3!P131</f>
        <v>0</v>
      </c>
      <c r="V131" s="55">
        <f>L131-'раздел 4'!C134</f>
        <v>0</v>
      </c>
      <c r="Z131" s="212">
        <f t="shared" si="19"/>
        <v>0</v>
      </c>
    </row>
    <row r="132" spans="1:26" s="49" customFormat="1" ht="15" customHeight="1">
      <c r="A132" s="258" t="s">
        <v>74</v>
      </c>
      <c r="B132" s="258"/>
      <c r="C132" s="258"/>
      <c r="D132" s="234" t="s">
        <v>33</v>
      </c>
      <c r="E132" s="234" t="s">
        <v>33</v>
      </c>
      <c r="F132" s="234" t="s">
        <v>33</v>
      </c>
      <c r="G132" s="234" t="s">
        <v>33</v>
      </c>
      <c r="H132" s="243">
        <f aca="true" t="shared" si="29" ref="H132:P132">H131</f>
        <v>24430.7</v>
      </c>
      <c r="I132" s="243">
        <f t="shared" si="29"/>
        <v>21399.4</v>
      </c>
      <c r="J132" s="243">
        <f t="shared" si="29"/>
        <v>21399.4</v>
      </c>
      <c r="K132" s="164">
        <f t="shared" si="29"/>
        <v>828</v>
      </c>
      <c r="L132" s="243">
        <f t="shared" si="29"/>
        <v>1645901.48</v>
      </c>
      <c r="M132" s="243">
        <f t="shared" si="29"/>
        <v>0</v>
      </c>
      <c r="N132" s="243">
        <f t="shared" si="29"/>
        <v>987540.8913940261</v>
      </c>
      <c r="O132" s="243">
        <f t="shared" si="29"/>
        <v>329180.29430298693</v>
      </c>
      <c r="P132" s="243">
        <f t="shared" si="29"/>
        <v>329180.29430298693</v>
      </c>
      <c r="Q132" s="224" t="s">
        <v>33</v>
      </c>
      <c r="R132" s="102" t="s">
        <v>33</v>
      </c>
      <c r="S132" s="105">
        <f>L132-N132-O132-P132</f>
        <v>0</v>
      </c>
      <c r="T132" s="55" t="b">
        <f>L132='раздел 4'!C135</f>
        <v>1</v>
      </c>
      <c r="U132" s="55">
        <f>'раздел 4'!C135-раздел3!N132-раздел3!O132-раздел3!P132</f>
        <v>0</v>
      </c>
      <c r="V132" s="55">
        <f>L132-'раздел 4'!C135</f>
        <v>0</v>
      </c>
      <c r="Z132" s="212">
        <f t="shared" si="19"/>
        <v>0</v>
      </c>
    </row>
    <row r="133" spans="1:26" s="101" customFormat="1" ht="15" customHeight="1">
      <c r="A133" s="268" t="s">
        <v>210</v>
      </c>
      <c r="B133" s="269"/>
      <c r="C133" s="269"/>
      <c r="D133" s="269"/>
      <c r="E133" s="269"/>
      <c r="F133" s="269"/>
      <c r="G133" s="269"/>
      <c r="H133" s="269"/>
      <c r="I133" s="269"/>
      <c r="J133" s="269"/>
      <c r="K133" s="269"/>
      <c r="L133" s="269"/>
      <c r="M133" s="269"/>
      <c r="N133" s="269"/>
      <c r="O133" s="269"/>
      <c r="P133" s="269"/>
      <c r="Q133" s="270"/>
      <c r="R133" s="143"/>
      <c r="S133" s="230"/>
      <c r="T133" s="55" t="b">
        <f>L133='раздел 4'!C136</f>
        <v>1</v>
      </c>
      <c r="U133" s="55">
        <f>'раздел 4'!C136-раздел3!N133-раздел3!O133-раздел3!P133</f>
        <v>0</v>
      </c>
      <c r="V133" s="55">
        <f>L133-'раздел 4'!C136</f>
        <v>0</v>
      </c>
      <c r="Z133" s="212">
        <f t="shared" si="19"/>
        <v>0</v>
      </c>
    </row>
    <row r="134" spans="1:26" s="101" customFormat="1" ht="15" customHeight="1">
      <c r="A134" s="264" t="s">
        <v>259</v>
      </c>
      <c r="B134" s="265"/>
      <c r="C134" s="266"/>
      <c r="D134" s="232"/>
      <c r="E134" s="232"/>
      <c r="F134" s="232"/>
      <c r="G134" s="232"/>
      <c r="H134" s="144"/>
      <c r="I134" s="144"/>
      <c r="J134" s="144"/>
      <c r="K134" s="145"/>
      <c r="L134" s="146"/>
      <c r="M134" s="146"/>
      <c r="N134" s="146"/>
      <c r="O134" s="146"/>
      <c r="P134" s="146"/>
      <c r="Q134" s="144"/>
      <c r="R134" s="143"/>
      <c r="S134" s="230"/>
      <c r="T134" s="55" t="b">
        <f>L134='раздел 4'!C137</f>
        <v>1</v>
      </c>
      <c r="U134" s="55">
        <f>'раздел 4'!C137-раздел3!N134-раздел3!O134-раздел3!P134</f>
        <v>0</v>
      </c>
      <c r="V134" s="55">
        <f>L134-'раздел 4'!C137</f>
        <v>0</v>
      </c>
      <c r="W134" s="44" t="s">
        <v>286</v>
      </c>
      <c r="Z134" s="212">
        <f t="shared" si="19"/>
        <v>0</v>
      </c>
    </row>
    <row r="135" spans="1:26" s="101" customFormat="1" ht="15" customHeight="1">
      <c r="A135" s="7">
        <f>A130+1</f>
        <v>77</v>
      </c>
      <c r="B135" s="22" t="s">
        <v>214</v>
      </c>
      <c r="C135" s="78">
        <v>1960</v>
      </c>
      <c r="D135" s="226"/>
      <c r="E135" s="231" t="s">
        <v>26</v>
      </c>
      <c r="F135" s="78">
        <v>2</v>
      </c>
      <c r="G135" s="78">
        <v>2</v>
      </c>
      <c r="H135" s="77">
        <v>679.8</v>
      </c>
      <c r="I135" s="248">
        <v>632</v>
      </c>
      <c r="J135" s="251">
        <v>257.24</v>
      </c>
      <c r="K135" s="249">
        <v>26</v>
      </c>
      <c r="L135" s="224">
        <v>99554.87</v>
      </c>
      <c r="M135" s="224">
        <v>0</v>
      </c>
      <c r="N135" s="224">
        <v>59732.93</v>
      </c>
      <c r="O135" s="224">
        <v>19910.97</v>
      </c>
      <c r="P135" s="224">
        <v>19910.969999999994</v>
      </c>
      <c r="Q135" s="103" t="s">
        <v>387</v>
      </c>
      <c r="R135" s="104" t="s">
        <v>303</v>
      </c>
      <c r="S135" s="109"/>
      <c r="T135" s="55" t="b">
        <f>L135='раздел 4'!C138</f>
        <v>1</v>
      </c>
      <c r="U135" s="55">
        <f>'раздел 4'!C138-раздел3!N135-раздел3!O135-раздел3!P135</f>
        <v>0</v>
      </c>
      <c r="V135" s="55">
        <f>L135-'раздел 4'!C138</f>
        <v>0</v>
      </c>
      <c r="Z135" s="212">
        <f t="shared" si="19"/>
        <v>0</v>
      </c>
    </row>
    <row r="136" spans="1:26" s="101" customFormat="1" ht="15" customHeight="1">
      <c r="A136" s="7">
        <f>A135+1</f>
        <v>78</v>
      </c>
      <c r="B136" s="22" t="s">
        <v>215</v>
      </c>
      <c r="C136" s="78">
        <v>1961</v>
      </c>
      <c r="D136" s="226"/>
      <c r="E136" s="231" t="s">
        <v>26</v>
      </c>
      <c r="F136" s="78">
        <v>2</v>
      </c>
      <c r="G136" s="78">
        <v>2</v>
      </c>
      <c r="H136" s="77">
        <v>679.8</v>
      </c>
      <c r="I136" s="248">
        <v>632</v>
      </c>
      <c r="J136" s="251">
        <v>270.88</v>
      </c>
      <c r="K136" s="249">
        <v>26</v>
      </c>
      <c r="L136" s="224">
        <v>109363</v>
      </c>
      <c r="M136" s="224">
        <v>0</v>
      </c>
      <c r="N136" s="224">
        <v>65617.8</v>
      </c>
      <c r="O136" s="224">
        <v>21872.6</v>
      </c>
      <c r="P136" s="224">
        <v>21872.6</v>
      </c>
      <c r="Q136" s="103" t="s">
        <v>387</v>
      </c>
      <c r="R136" s="104" t="s">
        <v>303</v>
      </c>
      <c r="S136" s="109"/>
      <c r="T136" s="55" t="b">
        <f>L136='раздел 4'!C139</f>
        <v>1</v>
      </c>
      <c r="U136" s="55">
        <f>'раздел 4'!C139-раздел3!N136-раздел3!O136-раздел3!P136</f>
        <v>0</v>
      </c>
      <c r="V136" s="55">
        <f>L136-'раздел 4'!C139</f>
        <v>0</v>
      </c>
      <c r="Z136" s="212">
        <f t="shared" si="19"/>
        <v>0</v>
      </c>
    </row>
    <row r="137" spans="1:26" s="101" customFormat="1" ht="15" customHeight="1">
      <c r="A137" s="7">
        <f>A136+1</f>
        <v>79</v>
      </c>
      <c r="B137" s="22" t="s">
        <v>216</v>
      </c>
      <c r="C137" s="78">
        <v>1962</v>
      </c>
      <c r="D137" s="226"/>
      <c r="E137" s="231" t="s">
        <v>26</v>
      </c>
      <c r="F137" s="78">
        <v>2</v>
      </c>
      <c r="G137" s="78">
        <v>2</v>
      </c>
      <c r="H137" s="77">
        <v>679.8</v>
      </c>
      <c r="I137" s="248">
        <v>632</v>
      </c>
      <c r="J137" s="251">
        <v>287.39</v>
      </c>
      <c r="K137" s="249">
        <v>26</v>
      </c>
      <c r="L137" s="224">
        <v>108006.9</v>
      </c>
      <c r="M137" s="224">
        <v>0</v>
      </c>
      <c r="N137" s="224">
        <v>64804.13999999999</v>
      </c>
      <c r="O137" s="224">
        <v>21601.38</v>
      </c>
      <c r="P137" s="224">
        <v>21601.379999999994</v>
      </c>
      <c r="Q137" s="103" t="s">
        <v>387</v>
      </c>
      <c r="R137" s="104" t="s">
        <v>303</v>
      </c>
      <c r="S137" s="109"/>
      <c r="T137" s="55" t="b">
        <f>L137='раздел 4'!C140</f>
        <v>1</v>
      </c>
      <c r="U137" s="55">
        <f>'раздел 4'!C140-раздел3!N137-раздел3!O137-раздел3!P137</f>
        <v>0</v>
      </c>
      <c r="V137" s="55">
        <f>L137-'раздел 4'!C140</f>
        <v>0</v>
      </c>
      <c r="Z137" s="212">
        <f t="shared" si="19"/>
        <v>0</v>
      </c>
    </row>
    <row r="138" spans="1:26" s="101" customFormat="1" ht="15" customHeight="1">
      <c r="A138" s="7">
        <f>A137+1</f>
        <v>80</v>
      </c>
      <c r="B138" s="22" t="s">
        <v>217</v>
      </c>
      <c r="C138" s="78">
        <v>1963</v>
      </c>
      <c r="D138" s="226"/>
      <c r="E138" s="231" t="s">
        <v>26</v>
      </c>
      <c r="F138" s="78">
        <v>2</v>
      </c>
      <c r="G138" s="78">
        <v>2</v>
      </c>
      <c r="H138" s="77">
        <v>679.8</v>
      </c>
      <c r="I138" s="248">
        <v>632</v>
      </c>
      <c r="J138" s="251">
        <v>217.14</v>
      </c>
      <c r="K138" s="249">
        <v>26</v>
      </c>
      <c r="L138" s="224">
        <v>100406.37</v>
      </c>
      <c r="M138" s="224">
        <v>0</v>
      </c>
      <c r="N138" s="224">
        <v>60243.83</v>
      </c>
      <c r="O138" s="224">
        <v>20081.27</v>
      </c>
      <c r="P138" s="224">
        <v>20081.269999999993</v>
      </c>
      <c r="Q138" s="103" t="s">
        <v>387</v>
      </c>
      <c r="R138" s="104" t="s">
        <v>303</v>
      </c>
      <c r="S138" s="109"/>
      <c r="T138" s="55" t="b">
        <f>L138='раздел 4'!C141</f>
        <v>1</v>
      </c>
      <c r="U138" s="55">
        <f>'раздел 4'!C141-раздел3!N138-раздел3!O138-раздел3!P138</f>
        <v>0</v>
      </c>
      <c r="V138" s="55">
        <f>L138-'раздел 4'!C141</f>
        <v>0</v>
      </c>
      <c r="Z138" s="212">
        <f aca="true" t="shared" si="30" ref="Z138:Z189">O138-P138</f>
        <v>0</v>
      </c>
    </row>
    <row r="139" spans="1:26" s="101" customFormat="1" ht="15" customHeight="1">
      <c r="A139" s="7">
        <f>A138+1</f>
        <v>81</v>
      </c>
      <c r="B139" s="22" t="s">
        <v>218</v>
      </c>
      <c r="C139" s="78">
        <v>1964</v>
      </c>
      <c r="D139" s="226"/>
      <c r="E139" s="231" t="s">
        <v>26</v>
      </c>
      <c r="F139" s="78">
        <v>2</v>
      </c>
      <c r="G139" s="78">
        <v>2</v>
      </c>
      <c r="H139" s="77">
        <v>679.8</v>
      </c>
      <c r="I139" s="248">
        <v>632</v>
      </c>
      <c r="J139" s="251">
        <v>229.94</v>
      </c>
      <c r="K139" s="249">
        <v>26</v>
      </c>
      <c r="L139" s="224">
        <v>101510.17</v>
      </c>
      <c r="M139" s="224">
        <v>0</v>
      </c>
      <c r="N139" s="224">
        <v>60906.11</v>
      </c>
      <c r="O139" s="224">
        <v>20302.03</v>
      </c>
      <c r="P139" s="224">
        <v>20302.03</v>
      </c>
      <c r="Q139" s="103" t="s">
        <v>387</v>
      </c>
      <c r="R139" s="104" t="s">
        <v>303</v>
      </c>
      <c r="S139" s="109"/>
      <c r="T139" s="55" t="b">
        <f>L139='раздел 4'!C142</f>
        <v>1</v>
      </c>
      <c r="U139" s="55">
        <f>'раздел 4'!C142-раздел3!N139-раздел3!O139-раздел3!P139</f>
        <v>0</v>
      </c>
      <c r="V139" s="55">
        <f>L139-'раздел 4'!C142</f>
        <v>0</v>
      </c>
      <c r="Z139" s="212">
        <f t="shared" si="30"/>
        <v>0</v>
      </c>
    </row>
    <row r="140" spans="1:26" s="101" customFormat="1" ht="15" customHeight="1">
      <c r="A140" s="7">
        <f>A139+1</f>
        <v>82</v>
      </c>
      <c r="B140" s="22" t="s">
        <v>219</v>
      </c>
      <c r="C140" s="78">
        <v>1965</v>
      </c>
      <c r="D140" s="226"/>
      <c r="E140" s="231" t="s">
        <v>26</v>
      </c>
      <c r="F140" s="78">
        <v>2</v>
      </c>
      <c r="G140" s="78">
        <v>2</v>
      </c>
      <c r="H140" s="77">
        <v>679.8</v>
      </c>
      <c r="I140" s="248">
        <v>632</v>
      </c>
      <c r="J140" s="251">
        <v>183.67</v>
      </c>
      <c r="K140" s="249">
        <v>26</v>
      </c>
      <c r="L140" s="224">
        <v>97820.31</v>
      </c>
      <c r="M140" s="224">
        <v>0</v>
      </c>
      <c r="N140" s="224">
        <v>58692.189999999995</v>
      </c>
      <c r="O140" s="224">
        <v>19564.06</v>
      </c>
      <c r="P140" s="224">
        <v>19564.059999999994</v>
      </c>
      <c r="Q140" s="103" t="s">
        <v>387</v>
      </c>
      <c r="R140" s="104" t="s">
        <v>303</v>
      </c>
      <c r="S140" s="109"/>
      <c r="T140" s="55" t="b">
        <f>L140='раздел 4'!C143</f>
        <v>1</v>
      </c>
      <c r="U140" s="55">
        <f>'раздел 4'!C143-раздел3!N140-раздел3!O140-раздел3!P140</f>
        <v>0</v>
      </c>
      <c r="V140" s="55">
        <f>L140-'раздел 4'!C143</f>
        <v>0</v>
      </c>
      <c r="Z140" s="212">
        <f t="shared" si="30"/>
        <v>0</v>
      </c>
    </row>
    <row r="141" spans="1:26" s="101" customFormat="1" ht="15" customHeight="1">
      <c r="A141" s="253" t="s">
        <v>60</v>
      </c>
      <c r="B141" s="253"/>
      <c r="C141" s="102" t="s">
        <v>33</v>
      </c>
      <c r="D141" s="102" t="s">
        <v>33</v>
      </c>
      <c r="E141" s="102" t="s">
        <v>33</v>
      </c>
      <c r="F141" s="102" t="s">
        <v>33</v>
      </c>
      <c r="G141" s="102" t="s">
        <v>33</v>
      </c>
      <c r="H141" s="224">
        <f>SUM(H135:H140)</f>
        <v>4078.8</v>
      </c>
      <c r="I141" s="240">
        <f aca="true" t="shared" si="31" ref="I141:O141">SUM(I135:I140)</f>
        <v>3792</v>
      </c>
      <c r="J141" s="224">
        <f t="shared" si="31"/>
        <v>1446.2600000000002</v>
      </c>
      <c r="K141" s="250">
        <f t="shared" si="31"/>
        <v>156</v>
      </c>
      <c r="L141" s="224">
        <f>SUM(L135:L140)</f>
        <v>616661.62</v>
      </c>
      <c r="M141" s="224">
        <f t="shared" si="31"/>
        <v>0</v>
      </c>
      <c r="N141" s="224">
        <f>SUM(N135:N140)</f>
        <v>369997</v>
      </c>
      <c r="O141" s="224">
        <f t="shared" si="31"/>
        <v>123332.31</v>
      </c>
      <c r="P141" s="224">
        <f>SUM(P135:P140)</f>
        <v>123332.30999999997</v>
      </c>
      <c r="Q141" s="224" t="s">
        <v>33</v>
      </c>
      <c r="R141" s="102" t="s">
        <v>33</v>
      </c>
      <c r="S141" s="105">
        <f>L141-N141-O141-P141</f>
        <v>0</v>
      </c>
      <c r="T141" s="55" t="b">
        <f>L141='раздел 4'!C144</f>
        <v>1</v>
      </c>
      <c r="U141" s="55">
        <f>'раздел 4'!C144-раздел3!N141-раздел3!O141-раздел3!P141</f>
        <v>0</v>
      </c>
      <c r="V141" s="55">
        <f>L141-'раздел 4'!C144</f>
        <v>0</v>
      </c>
      <c r="Z141" s="212">
        <f t="shared" si="30"/>
        <v>0</v>
      </c>
    </row>
    <row r="142" spans="1:26" s="101" customFormat="1" ht="15" customHeight="1">
      <c r="A142" s="264" t="s">
        <v>260</v>
      </c>
      <c r="B142" s="265"/>
      <c r="C142" s="266"/>
      <c r="D142" s="232"/>
      <c r="E142" s="232"/>
      <c r="F142" s="232"/>
      <c r="G142" s="232"/>
      <c r="H142" s="144"/>
      <c r="I142" s="144"/>
      <c r="J142" s="231"/>
      <c r="K142" s="145"/>
      <c r="L142" s="146"/>
      <c r="M142" s="146"/>
      <c r="N142" s="146"/>
      <c r="O142" s="146"/>
      <c r="P142" s="146"/>
      <c r="Q142" s="144"/>
      <c r="R142" s="143"/>
      <c r="S142" s="230"/>
      <c r="T142" s="55" t="b">
        <f>L142='раздел 4'!C145</f>
        <v>1</v>
      </c>
      <c r="U142" s="55">
        <f>'раздел 4'!C145-раздел3!N142-раздел3!O142-раздел3!P142</f>
        <v>0</v>
      </c>
      <c r="V142" s="55">
        <f>L142-'раздел 4'!C145</f>
        <v>0</v>
      </c>
      <c r="Z142" s="212">
        <f t="shared" si="30"/>
        <v>0</v>
      </c>
    </row>
    <row r="143" spans="1:26" s="101" customFormat="1" ht="15" customHeight="1">
      <c r="A143" s="7">
        <f>A140+1</f>
        <v>83</v>
      </c>
      <c r="B143" s="82" t="s">
        <v>211</v>
      </c>
      <c r="C143" s="231">
        <v>1988</v>
      </c>
      <c r="D143" s="231">
        <v>1988</v>
      </c>
      <c r="E143" s="231" t="s">
        <v>25</v>
      </c>
      <c r="F143" s="231">
        <v>5</v>
      </c>
      <c r="G143" s="231">
        <v>8</v>
      </c>
      <c r="H143" s="224">
        <v>6050</v>
      </c>
      <c r="I143" s="224">
        <v>3449</v>
      </c>
      <c r="J143" s="224">
        <v>2620</v>
      </c>
      <c r="K143" s="7">
        <v>275</v>
      </c>
      <c r="L143" s="224">
        <f>'раздел 4'!C146</f>
        <v>922949.93</v>
      </c>
      <c r="M143" s="224">
        <v>0</v>
      </c>
      <c r="N143" s="224">
        <v>553769.95</v>
      </c>
      <c r="O143" s="224">
        <v>184589.99</v>
      </c>
      <c r="P143" s="224">
        <f>L143-N143-O143</f>
        <v>184589.9900000001</v>
      </c>
      <c r="Q143" s="103" t="s">
        <v>387</v>
      </c>
      <c r="R143" s="104" t="s">
        <v>303</v>
      </c>
      <c r="S143" s="230"/>
      <c r="T143" s="55" t="b">
        <f>L143='раздел 4'!C146</f>
        <v>1</v>
      </c>
      <c r="U143" s="55">
        <f>'раздел 4'!C146-раздел3!N143-раздел3!O143-раздел3!P143</f>
        <v>0</v>
      </c>
      <c r="V143" s="55">
        <f>L143-'раздел 4'!C146</f>
        <v>0</v>
      </c>
      <c r="W143" s="101" t="s">
        <v>213</v>
      </c>
      <c r="Z143" s="212">
        <f t="shared" si="30"/>
        <v>0</v>
      </c>
    </row>
    <row r="144" spans="1:26" s="101" customFormat="1" ht="15" customHeight="1">
      <c r="A144" s="253" t="s">
        <v>60</v>
      </c>
      <c r="B144" s="253"/>
      <c r="C144" s="102" t="s">
        <v>33</v>
      </c>
      <c r="D144" s="102" t="s">
        <v>33</v>
      </c>
      <c r="E144" s="102" t="s">
        <v>33</v>
      </c>
      <c r="F144" s="102" t="s">
        <v>33</v>
      </c>
      <c r="G144" s="102" t="s">
        <v>33</v>
      </c>
      <c r="H144" s="224">
        <f aca="true" t="shared" si="32" ref="H144:P144">H143</f>
        <v>6050</v>
      </c>
      <c r="I144" s="224">
        <f t="shared" si="32"/>
        <v>3449</v>
      </c>
      <c r="J144" s="224">
        <f t="shared" si="32"/>
        <v>2620</v>
      </c>
      <c r="K144" s="7">
        <f t="shared" si="32"/>
        <v>275</v>
      </c>
      <c r="L144" s="224">
        <f t="shared" si="32"/>
        <v>922949.93</v>
      </c>
      <c r="M144" s="224">
        <f t="shared" si="32"/>
        <v>0</v>
      </c>
      <c r="N144" s="224">
        <f t="shared" si="32"/>
        <v>553769.95</v>
      </c>
      <c r="O144" s="224">
        <f t="shared" si="32"/>
        <v>184589.99</v>
      </c>
      <c r="P144" s="224">
        <f t="shared" si="32"/>
        <v>184589.9900000001</v>
      </c>
      <c r="Q144" s="224" t="s">
        <v>33</v>
      </c>
      <c r="R144" s="102" t="s">
        <v>33</v>
      </c>
      <c r="S144" s="230"/>
      <c r="T144" s="55" t="b">
        <f>L144='раздел 4'!C147</f>
        <v>1</v>
      </c>
      <c r="U144" s="55">
        <f>'раздел 4'!C147-раздел3!N144-раздел3!O144-раздел3!P144</f>
        <v>0</v>
      </c>
      <c r="V144" s="55">
        <f>L144-'раздел 4'!C147</f>
        <v>0</v>
      </c>
      <c r="Z144" s="212">
        <f t="shared" si="30"/>
        <v>0</v>
      </c>
    </row>
    <row r="145" spans="1:26" s="49" customFormat="1" ht="15" customHeight="1">
      <c r="A145" s="258" t="s">
        <v>212</v>
      </c>
      <c r="B145" s="258"/>
      <c r="C145" s="258"/>
      <c r="D145" s="234" t="s">
        <v>33</v>
      </c>
      <c r="E145" s="234" t="s">
        <v>33</v>
      </c>
      <c r="F145" s="234" t="s">
        <v>33</v>
      </c>
      <c r="G145" s="234" t="s">
        <v>33</v>
      </c>
      <c r="H145" s="243">
        <f aca="true" t="shared" si="33" ref="H145:P145">H144+H141</f>
        <v>10128.8</v>
      </c>
      <c r="I145" s="243">
        <f t="shared" si="33"/>
        <v>7241</v>
      </c>
      <c r="J145" s="243">
        <f t="shared" si="33"/>
        <v>4066.26</v>
      </c>
      <c r="K145" s="164">
        <f t="shared" si="33"/>
        <v>431</v>
      </c>
      <c r="L145" s="243">
        <f>L144+L141</f>
        <v>1539611.55</v>
      </c>
      <c r="M145" s="243">
        <f t="shared" si="33"/>
        <v>0</v>
      </c>
      <c r="N145" s="243">
        <f t="shared" si="33"/>
        <v>923766.95</v>
      </c>
      <c r="O145" s="243">
        <f t="shared" si="33"/>
        <v>307922.3</v>
      </c>
      <c r="P145" s="243">
        <f t="shared" si="33"/>
        <v>307922.30000000005</v>
      </c>
      <c r="Q145" s="224" t="s">
        <v>33</v>
      </c>
      <c r="R145" s="102" t="s">
        <v>33</v>
      </c>
      <c r="S145" s="105">
        <f>L145-N145-O145-P145</f>
        <v>0</v>
      </c>
      <c r="T145" s="55" t="b">
        <f>L145='раздел 4'!C148</f>
        <v>1</v>
      </c>
      <c r="U145" s="55">
        <f>'раздел 4'!C148-раздел3!N145-раздел3!O145-раздел3!P145</f>
        <v>0</v>
      </c>
      <c r="V145" s="55">
        <f>L145-'раздел 4'!C148</f>
        <v>0</v>
      </c>
      <c r="Z145" s="212">
        <f t="shared" si="30"/>
        <v>0</v>
      </c>
    </row>
    <row r="146" spans="1:26" s="101" customFormat="1" ht="15">
      <c r="A146" s="268" t="s">
        <v>372</v>
      </c>
      <c r="B146" s="269"/>
      <c r="C146" s="269"/>
      <c r="D146" s="269"/>
      <c r="E146" s="269"/>
      <c r="F146" s="269"/>
      <c r="G146" s="269"/>
      <c r="H146" s="269"/>
      <c r="I146" s="269"/>
      <c r="J146" s="269"/>
      <c r="K146" s="269"/>
      <c r="L146" s="269"/>
      <c r="M146" s="269"/>
      <c r="N146" s="269"/>
      <c r="O146" s="269"/>
      <c r="P146" s="269"/>
      <c r="Q146" s="270"/>
      <c r="R146" s="231"/>
      <c r="S146" s="109"/>
      <c r="T146" s="55" t="b">
        <f>L146='раздел 4'!C149</f>
        <v>1</v>
      </c>
      <c r="U146" s="55">
        <f>'раздел 4'!C149-раздел3!N146-раздел3!O146-раздел3!P146</f>
        <v>0</v>
      </c>
      <c r="V146" s="55">
        <f>L146-'раздел 4'!C149</f>
        <v>0</v>
      </c>
      <c r="Z146" s="212">
        <f t="shared" si="30"/>
        <v>0</v>
      </c>
    </row>
    <row r="147" spans="1:26" s="101" customFormat="1" ht="15" customHeight="1">
      <c r="A147" s="267" t="s">
        <v>76</v>
      </c>
      <c r="B147" s="267"/>
      <c r="C147" s="267"/>
      <c r="D147" s="231"/>
      <c r="E147" s="231"/>
      <c r="F147" s="260"/>
      <c r="G147" s="260"/>
      <c r="H147" s="260"/>
      <c r="I147" s="260"/>
      <c r="J147" s="260"/>
      <c r="K147" s="260"/>
      <c r="L147" s="260"/>
      <c r="M147" s="260"/>
      <c r="N147" s="260"/>
      <c r="O147" s="260"/>
      <c r="P147" s="260"/>
      <c r="Q147" s="260"/>
      <c r="R147" s="260"/>
      <c r="S147" s="214"/>
      <c r="T147" s="55" t="b">
        <f>L147='раздел 4'!C150</f>
        <v>1</v>
      </c>
      <c r="U147" s="55">
        <f>'раздел 4'!C150-раздел3!N147-раздел3!O147-раздел3!P147</f>
        <v>0</v>
      </c>
      <c r="V147" s="55">
        <f>L147-'раздел 4'!C150</f>
        <v>0</v>
      </c>
      <c r="W147" s="101" t="s">
        <v>221</v>
      </c>
      <c r="Z147" s="212">
        <f t="shared" si="30"/>
        <v>0</v>
      </c>
    </row>
    <row r="148" spans="1:26" s="101" customFormat="1" ht="15">
      <c r="A148" s="72">
        <f>A143+1</f>
        <v>84</v>
      </c>
      <c r="B148" s="25" t="s">
        <v>97</v>
      </c>
      <c r="C148" s="226">
        <v>1996</v>
      </c>
      <c r="D148" s="231"/>
      <c r="E148" s="231" t="s">
        <v>26</v>
      </c>
      <c r="F148" s="231">
        <v>2</v>
      </c>
      <c r="G148" s="231">
        <v>2</v>
      </c>
      <c r="H148" s="224">
        <v>330.3</v>
      </c>
      <c r="I148" s="224">
        <v>330.3</v>
      </c>
      <c r="J148" s="224">
        <v>184.8</v>
      </c>
      <c r="K148" s="7">
        <v>16</v>
      </c>
      <c r="L148" s="224">
        <f>'раздел 4'!C151</f>
        <v>996373.06</v>
      </c>
      <c r="M148" s="224">
        <v>0</v>
      </c>
      <c r="N148" s="224">
        <v>597823.84</v>
      </c>
      <c r="O148" s="224">
        <v>199274.61</v>
      </c>
      <c r="P148" s="224">
        <f>L148-N148-O148</f>
        <v>199274.6100000001</v>
      </c>
      <c r="Q148" s="103" t="s">
        <v>387</v>
      </c>
      <c r="R148" s="104" t="s">
        <v>303</v>
      </c>
      <c r="S148" s="109"/>
      <c r="T148" s="55" t="b">
        <f>L148='раздел 4'!C151</f>
        <v>1</v>
      </c>
      <c r="U148" s="55">
        <f>'раздел 4'!C151-раздел3!N148-раздел3!O148-раздел3!P148</f>
        <v>0</v>
      </c>
      <c r="V148" s="55">
        <f>L148-'раздел 4'!C151</f>
        <v>0</v>
      </c>
      <c r="Z148" s="212">
        <f t="shared" si="30"/>
        <v>0</v>
      </c>
    </row>
    <row r="149" spans="1:26" s="101" customFormat="1" ht="15">
      <c r="A149" s="72">
        <f>A148+1</f>
        <v>85</v>
      </c>
      <c r="B149" s="25" t="s">
        <v>98</v>
      </c>
      <c r="C149" s="226">
        <v>1999</v>
      </c>
      <c r="D149" s="231"/>
      <c r="E149" s="231" t="s">
        <v>26</v>
      </c>
      <c r="F149" s="231">
        <v>2</v>
      </c>
      <c r="G149" s="231">
        <v>2</v>
      </c>
      <c r="H149" s="224">
        <v>330.3</v>
      </c>
      <c r="I149" s="224">
        <v>330.3</v>
      </c>
      <c r="J149" s="224">
        <v>104.6</v>
      </c>
      <c r="K149" s="7">
        <v>11</v>
      </c>
      <c r="L149" s="224">
        <f>'раздел 4'!C152</f>
        <v>996373.06</v>
      </c>
      <c r="M149" s="224">
        <v>0</v>
      </c>
      <c r="N149" s="224">
        <v>597823.84</v>
      </c>
      <c r="O149" s="224">
        <v>199274.61</v>
      </c>
      <c r="P149" s="224">
        <f>L149-N149-O149</f>
        <v>199274.6100000001</v>
      </c>
      <c r="Q149" s="103" t="s">
        <v>387</v>
      </c>
      <c r="R149" s="104" t="s">
        <v>303</v>
      </c>
      <c r="S149" s="109"/>
      <c r="T149" s="55" t="b">
        <f>L149='раздел 4'!C152</f>
        <v>1</v>
      </c>
      <c r="U149" s="55">
        <f>'раздел 4'!C152-раздел3!N149-раздел3!O149-раздел3!P149</f>
        <v>0</v>
      </c>
      <c r="V149" s="55">
        <f>L149-'раздел 4'!C152</f>
        <v>0</v>
      </c>
      <c r="Z149" s="212">
        <f t="shared" si="30"/>
        <v>0</v>
      </c>
    </row>
    <row r="150" spans="1:26" s="101" customFormat="1" ht="15">
      <c r="A150" s="72">
        <f>A149+1</f>
        <v>86</v>
      </c>
      <c r="B150" s="25" t="s">
        <v>99</v>
      </c>
      <c r="C150" s="226">
        <v>1996</v>
      </c>
      <c r="D150" s="231"/>
      <c r="E150" s="231" t="s">
        <v>26</v>
      </c>
      <c r="F150" s="231">
        <v>2</v>
      </c>
      <c r="G150" s="231">
        <v>2</v>
      </c>
      <c r="H150" s="224">
        <v>319.5</v>
      </c>
      <c r="I150" s="224">
        <v>319.5</v>
      </c>
      <c r="J150" s="224">
        <v>261.8</v>
      </c>
      <c r="K150" s="7">
        <v>13</v>
      </c>
      <c r="L150" s="224">
        <f>'раздел 4'!C153</f>
        <v>996373.06</v>
      </c>
      <c r="M150" s="224">
        <v>0</v>
      </c>
      <c r="N150" s="224">
        <v>597823.84</v>
      </c>
      <c r="O150" s="224">
        <v>199274.61</v>
      </c>
      <c r="P150" s="224">
        <f>L150-N150-O150</f>
        <v>199274.6100000001</v>
      </c>
      <c r="Q150" s="103" t="s">
        <v>387</v>
      </c>
      <c r="R150" s="104" t="s">
        <v>303</v>
      </c>
      <c r="S150" s="109"/>
      <c r="T150" s="55" t="b">
        <f>L150='раздел 4'!C153</f>
        <v>1</v>
      </c>
      <c r="U150" s="55">
        <f>'раздел 4'!C153-раздел3!N150-раздел3!O150-раздел3!P150</f>
        <v>0</v>
      </c>
      <c r="V150" s="55">
        <f>L150-'раздел 4'!C153</f>
        <v>0</v>
      </c>
      <c r="Z150" s="212">
        <f t="shared" si="30"/>
        <v>0</v>
      </c>
    </row>
    <row r="151" spans="1:26" s="101" customFormat="1" ht="15">
      <c r="A151" s="72">
        <f>A150+1</f>
        <v>87</v>
      </c>
      <c r="B151" s="25" t="s">
        <v>100</v>
      </c>
      <c r="C151" s="226">
        <v>1965</v>
      </c>
      <c r="D151" s="231"/>
      <c r="E151" s="231" t="s">
        <v>26</v>
      </c>
      <c r="F151" s="231">
        <v>4</v>
      </c>
      <c r="G151" s="231">
        <v>3</v>
      </c>
      <c r="H151" s="224">
        <v>1994.26</v>
      </c>
      <c r="I151" s="224">
        <v>1994.26</v>
      </c>
      <c r="J151" s="224">
        <v>1824.7</v>
      </c>
      <c r="K151" s="7">
        <v>82</v>
      </c>
      <c r="L151" s="224">
        <f>'раздел 4'!C154</f>
        <v>1517736.64</v>
      </c>
      <c r="M151" s="224">
        <v>0</v>
      </c>
      <c r="N151" s="224">
        <v>910641.98</v>
      </c>
      <c r="O151" s="224">
        <v>303547.33</v>
      </c>
      <c r="P151" s="224">
        <f>L151-N151-O151</f>
        <v>303547.3299999999</v>
      </c>
      <c r="Q151" s="103" t="s">
        <v>387</v>
      </c>
      <c r="R151" s="104" t="s">
        <v>303</v>
      </c>
      <c r="S151" s="109"/>
      <c r="T151" s="55" t="b">
        <f>L151='раздел 4'!C154</f>
        <v>1</v>
      </c>
      <c r="U151" s="55">
        <f>'раздел 4'!C154-раздел3!N151-раздел3!O151-раздел3!P151</f>
        <v>0</v>
      </c>
      <c r="V151" s="55">
        <f>L151-'раздел 4'!C154</f>
        <v>0</v>
      </c>
      <c r="Z151" s="212">
        <f t="shared" si="30"/>
        <v>0</v>
      </c>
    </row>
    <row r="152" spans="1:26" s="101" customFormat="1" ht="15">
      <c r="A152" s="253" t="s">
        <v>60</v>
      </c>
      <c r="B152" s="253"/>
      <c r="C152" s="102" t="s">
        <v>33</v>
      </c>
      <c r="D152" s="102" t="s">
        <v>33</v>
      </c>
      <c r="E152" s="102" t="s">
        <v>33</v>
      </c>
      <c r="F152" s="102" t="s">
        <v>33</v>
      </c>
      <c r="G152" s="102" t="s">
        <v>33</v>
      </c>
      <c r="H152" s="224">
        <f aca="true" t="shared" si="34" ref="H152:P152">SUM(H148:H151)</f>
        <v>2974.36</v>
      </c>
      <c r="I152" s="224">
        <f t="shared" si="34"/>
        <v>2974.36</v>
      </c>
      <c r="J152" s="224">
        <f t="shared" si="34"/>
        <v>2375.9</v>
      </c>
      <c r="K152" s="7">
        <f t="shared" si="34"/>
        <v>122</v>
      </c>
      <c r="L152" s="224">
        <f>SUM(L148:L151)</f>
        <v>4506855.82</v>
      </c>
      <c r="M152" s="224">
        <f t="shared" si="34"/>
        <v>0</v>
      </c>
      <c r="N152" s="224">
        <f t="shared" si="34"/>
        <v>2704113.5</v>
      </c>
      <c r="O152" s="224">
        <f t="shared" si="34"/>
        <v>901371.1599999999</v>
      </c>
      <c r="P152" s="224">
        <f t="shared" si="34"/>
        <v>901371.1600000001</v>
      </c>
      <c r="Q152" s="224" t="s">
        <v>33</v>
      </c>
      <c r="R152" s="102" t="s">
        <v>33</v>
      </c>
      <c r="S152" s="105">
        <f>L152-N152-O152-P152</f>
        <v>0</v>
      </c>
      <c r="T152" s="55" t="b">
        <f>L152='раздел 4'!C155</f>
        <v>1</v>
      </c>
      <c r="U152" s="55">
        <f>'раздел 4'!C155-раздел3!N152-раздел3!O152-раздел3!P152</f>
        <v>0</v>
      </c>
      <c r="V152" s="55">
        <f>L152-'раздел 4'!C155</f>
        <v>0</v>
      </c>
      <c r="Z152" s="212">
        <f t="shared" si="30"/>
        <v>0</v>
      </c>
    </row>
    <row r="153" spans="1:26" s="101" customFormat="1" ht="15" customHeight="1">
      <c r="A153" s="259" t="s">
        <v>88</v>
      </c>
      <c r="B153" s="259"/>
      <c r="C153" s="259"/>
      <c r="D153" s="231"/>
      <c r="E153" s="231"/>
      <c r="F153" s="299"/>
      <c r="G153" s="299"/>
      <c r="H153" s="299"/>
      <c r="I153" s="299"/>
      <c r="J153" s="299"/>
      <c r="K153" s="299"/>
      <c r="L153" s="299"/>
      <c r="M153" s="299"/>
      <c r="N153" s="299"/>
      <c r="O153" s="299"/>
      <c r="P153" s="299"/>
      <c r="Q153" s="299"/>
      <c r="R153" s="299"/>
      <c r="S153" s="214"/>
      <c r="T153" s="55" t="b">
        <f>L153='раздел 4'!C156</f>
        <v>1</v>
      </c>
      <c r="U153" s="55">
        <f>'раздел 4'!C156-раздел3!N153-раздел3!O153-раздел3!P153</f>
        <v>0</v>
      </c>
      <c r="V153" s="55">
        <f>L153-'раздел 4'!C156</f>
        <v>0</v>
      </c>
      <c r="W153" s="44" t="s">
        <v>287</v>
      </c>
      <c r="Z153" s="212">
        <f t="shared" si="30"/>
        <v>0</v>
      </c>
    </row>
    <row r="154" spans="1:26" s="101" customFormat="1" ht="15">
      <c r="A154" s="72">
        <f>A151+1</f>
        <v>88</v>
      </c>
      <c r="B154" s="35" t="s">
        <v>127</v>
      </c>
      <c r="C154" s="147">
        <v>1994</v>
      </c>
      <c r="D154" s="147">
        <v>1994</v>
      </c>
      <c r="E154" s="147" t="s">
        <v>29</v>
      </c>
      <c r="F154" s="147">
        <v>5</v>
      </c>
      <c r="G154" s="147">
        <v>7</v>
      </c>
      <c r="H154" s="176">
        <v>8338.1</v>
      </c>
      <c r="I154" s="176">
        <v>8338.1</v>
      </c>
      <c r="J154" s="176">
        <v>8338.1</v>
      </c>
      <c r="K154" s="177">
        <v>366</v>
      </c>
      <c r="L154" s="176">
        <f>'раздел 4'!C157</f>
        <v>2058935.2999999998</v>
      </c>
      <c r="M154" s="176">
        <v>0</v>
      </c>
      <c r="N154" s="224">
        <v>1235361.18</v>
      </c>
      <c r="O154" s="224">
        <v>411787.06</v>
      </c>
      <c r="P154" s="224">
        <f>L154-N154-O154</f>
        <v>411787.0599999999</v>
      </c>
      <c r="Q154" s="103" t="s">
        <v>387</v>
      </c>
      <c r="R154" s="104" t="s">
        <v>303</v>
      </c>
      <c r="S154" s="109"/>
      <c r="T154" s="55" t="b">
        <f>L154='раздел 4'!C157</f>
        <v>1</v>
      </c>
      <c r="U154" s="55">
        <f>'раздел 4'!C157-раздел3!N154-раздел3!O154-раздел3!P154</f>
        <v>0</v>
      </c>
      <c r="V154" s="55">
        <f>L154-'раздел 4'!C157</f>
        <v>0</v>
      </c>
      <c r="Z154" s="212">
        <f t="shared" si="30"/>
        <v>0</v>
      </c>
    </row>
    <row r="155" spans="1:26" s="101" customFormat="1" ht="15">
      <c r="A155" s="72">
        <f>A154+1</f>
        <v>89</v>
      </c>
      <c r="B155" s="35" t="s">
        <v>128</v>
      </c>
      <c r="C155" s="147">
        <v>1972</v>
      </c>
      <c r="D155" s="147">
        <v>1972</v>
      </c>
      <c r="E155" s="147" t="s">
        <v>131</v>
      </c>
      <c r="F155" s="147">
        <v>5</v>
      </c>
      <c r="G155" s="147">
        <v>3</v>
      </c>
      <c r="H155" s="176">
        <v>2597.7</v>
      </c>
      <c r="I155" s="176">
        <v>2597.7</v>
      </c>
      <c r="J155" s="176">
        <v>2331.1</v>
      </c>
      <c r="K155" s="177">
        <v>121</v>
      </c>
      <c r="L155" s="176">
        <f>'раздел 4'!C158</f>
        <v>643213.16</v>
      </c>
      <c r="M155" s="176">
        <v>0</v>
      </c>
      <c r="N155" s="224">
        <v>385927.9</v>
      </c>
      <c r="O155" s="224">
        <v>128642.63</v>
      </c>
      <c r="P155" s="224">
        <f>L155-N155-O155</f>
        <v>128642.63</v>
      </c>
      <c r="Q155" s="103" t="s">
        <v>387</v>
      </c>
      <c r="R155" s="104" t="s">
        <v>303</v>
      </c>
      <c r="S155" s="109"/>
      <c r="T155" s="55" t="b">
        <f>L155='раздел 4'!C158</f>
        <v>1</v>
      </c>
      <c r="U155" s="55">
        <f>'раздел 4'!C158-раздел3!N155-раздел3!O155-раздел3!P155</f>
        <v>0</v>
      </c>
      <c r="V155" s="55">
        <f>L155-'раздел 4'!C158</f>
        <v>0</v>
      </c>
      <c r="Z155" s="212">
        <f t="shared" si="30"/>
        <v>0</v>
      </c>
    </row>
    <row r="156" spans="1:26" s="101" customFormat="1" ht="15">
      <c r="A156" s="72">
        <f>A155+1</f>
        <v>90</v>
      </c>
      <c r="B156" s="35" t="s">
        <v>129</v>
      </c>
      <c r="C156" s="147">
        <v>1973</v>
      </c>
      <c r="D156" s="147">
        <v>1973</v>
      </c>
      <c r="E156" s="147" t="s">
        <v>131</v>
      </c>
      <c r="F156" s="147">
        <v>5</v>
      </c>
      <c r="G156" s="147">
        <v>3</v>
      </c>
      <c r="H156" s="176">
        <v>2543.4</v>
      </c>
      <c r="I156" s="176">
        <v>2543.4</v>
      </c>
      <c r="J156" s="176">
        <v>2198.5</v>
      </c>
      <c r="K156" s="177">
        <v>135</v>
      </c>
      <c r="L156" s="176">
        <f>'раздел 4'!C159</f>
        <v>643277.37</v>
      </c>
      <c r="M156" s="176">
        <v>0</v>
      </c>
      <c r="N156" s="224">
        <v>385966.43</v>
      </c>
      <c r="O156" s="224">
        <v>128655.47</v>
      </c>
      <c r="P156" s="224">
        <f>L156-N156-O156</f>
        <v>128655.47</v>
      </c>
      <c r="Q156" s="103" t="s">
        <v>387</v>
      </c>
      <c r="R156" s="104" t="s">
        <v>303</v>
      </c>
      <c r="S156" s="109"/>
      <c r="T156" s="55" t="b">
        <f>L156='раздел 4'!C159</f>
        <v>1</v>
      </c>
      <c r="U156" s="55">
        <f>'раздел 4'!C159-раздел3!N156-раздел3!O156-раздел3!P156</f>
        <v>0</v>
      </c>
      <c r="V156" s="55">
        <f>L156-'раздел 4'!C159</f>
        <v>0</v>
      </c>
      <c r="Z156" s="212">
        <f t="shared" si="30"/>
        <v>0</v>
      </c>
    </row>
    <row r="157" spans="1:26" s="101" customFormat="1" ht="15">
      <c r="A157" s="72">
        <f>A156+1</f>
        <v>91</v>
      </c>
      <c r="B157" s="35" t="s">
        <v>130</v>
      </c>
      <c r="C157" s="147">
        <v>1980</v>
      </c>
      <c r="D157" s="147">
        <v>1980</v>
      </c>
      <c r="E157" s="147" t="s">
        <v>29</v>
      </c>
      <c r="F157" s="147">
        <v>5</v>
      </c>
      <c r="G157" s="147">
        <v>3</v>
      </c>
      <c r="H157" s="176">
        <v>2183.6</v>
      </c>
      <c r="I157" s="176">
        <v>2183.6</v>
      </c>
      <c r="J157" s="176">
        <v>1851.7</v>
      </c>
      <c r="K157" s="177">
        <v>112</v>
      </c>
      <c r="L157" s="176">
        <f>'раздел 4'!C160</f>
        <v>562811.43</v>
      </c>
      <c r="M157" s="176">
        <v>0</v>
      </c>
      <c r="N157" s="224">
        <v>337686.85</v>
      </c>
      <c r="O157" s="224">
        <v>112562.29</v>
      </c>
      <c r="P157" s="224">
        <f>L157-N157-O157</f>
        <v>112562.29000000008</v>
      </c>
      <c r="Q157" s="103" t="s">
        <v>387</v>
      </c>
      <c r="R157" s="104" t="s">
        <v>303</v>
      </c>
      <c r="S157" s="109"/>
      <c r="T157" s="55" t="b">
        <f>L157='раздел 4'!C160</f>
        <v>1</v>
      </c>
      <c r="U157" s="55">
        <f>'раздел 4'!C160-раздел3!N157-раздел3!O157-раздел3!P157</f>
        <v>0</v>
      </c>
      <c r="V157" s="55">
        <f>L157-'раздел 4'!C160</f>
        <v>0</v>
      </c>
      <c r="Z157" s="212">
        <f t="shared" si="30"/>
        <v>0</v>
      </c>
    </row>
    <row r="158" spans="1:26" s="101" customFormat="1" ht="15">
      <c r="A158" s="253" t="s">
        <v>60</v>
      </c>
      <c r="B158" s="257"/>
      <c r="C158" s="236" t="s">
        <v>33</v>
      </c>
      <c r="D158" s="236" t="s">
        <v>33</v>
      </c>
      <c r="E158" s="236" t="s">
        <v>33</v>
      </c>
      <c r="F158" s="236" t="s">
        <v>33</v>
      </c>
      <c r="G158" s="236" t="s">
        <v>33</v>
      </c>
      <c r="H158" s="18">
        <f aca="true" t="shared" si="35" ref="H158:P158">SUM(H154:H157)</f>
        <v>15662.8</v>
      </c>
      <c r="I158" s="18">
        <f t="shared" si="35"/>
        <v>15662.8</v>
      </c>
      <c r="J158" s="18">
        <f t="shared" si="35"/>
        <v>14719.400000000001</v>
      </c>
      <c r="K158" s="178">
        <f t="shared" si="35"/>
        <v>734</v>
      </c>
      <c r="L158" s="18">
        <f>SUM(L154:L157)</f>
        <v>3908237.2600000002</v>
      </c>
      <c r="M158" s="18">
        <f t="shared" si="35"/>
        <v>0</v>
      </c>
      <c r="N158" s="18">
        <f t="shared" si="35"/>
        <v>2344942.36</v>
      </c>
      <c r="O158" s="18">
        <f t="shared" si="35"/>
        <v>781647.45</v>
      </c>
      <c r="P158" s="18">
        <f t="shared" si="35"/>
        <v>781647.45</v>
      </c>
      <c r="Q158" s="224" t="s">
        <v>33</v>
      </c>
      <c r="R158" s="102" t="s">
        <v>33</v>
      </c>
      <c r="S158" s="105">
        <f>L158-N158-O158-P158</f>
        <v>0</v>
      </c>
      <c r="T158" s="55" t="b">
        <f>L158='раздел 4'!C161</f>
        <v>1</v>
      </c>
      <c r="U158" s="55">
        <f>'раздел 4'!C161-раздел3!N158-раздел3!O158-раздел3!P158</f>
        <v>0</v>
      </c>
      <c r="V158" s="55">
        <f>L158-'раздел 4'!C161</f>
        <v>0</v>
      </c>
      <c r="Z158" s="212">
        <f t="shared" si="30"/>
        <v>0</v>
      </c>
    </row>
    <row r="159" spans="1:26" s="101" customFormat="1" ht="15">
      <c r="A159" s="259" t="s">
        <v>242</v>
      </c>
      <c r="B159" s="259"/>
      <c r="C159" s="259"/>
      <c r="D159" s="102"/>
      <c r="E159" s="102"/>
      <c r="F159" s="102"/>
      <c r="G159" s="102"/>
      <c r="H159" s="224"/>
      <c r="I159" s="224"/>
      <c r="J159" s="224"/>
      <c r="K159" s="224"/>
      <c r="L159" s="224"/>
      <c r="M159" s="224"/>
      <c r="N159" s="224"/>
      <c r="O159" s="224"/>
      <c r="P159" s="224"/>
      <c r="Q159" s="231"/>
      <c r="R159" s="231"/>
      <c r="S159" s="109"/>
      <c r="T159" s="55" t="b">
        <f>L159='раздел 4'!C162</f>
        <v>1</v>
      </c>
      <c r="U159" s="55">
        <f>'раздел 4'!C162-раздел3!N159-раздел3!O159-раздел3!P159</f>
        <v>0</v>
      </c>
      <c r="V159" s="55">
        <f>L159-'раздел 4'!C162</f>
        <v>0</v>
      </c>
      <c r="W159" s="101" t="s">
        <v>224</v>
      </c>
      <c r="Z159" s="212">
        <f t="shared" si="30"/>
        <v>0</v>
      </c>
    </row>
    <row r="160" spans="1:26" s="101" customFormat="1" ht="15">
      <c r="A160" s="72">
        <f>A157+1</f>
        <v>92</v>
      </c>
      <c r="B160" s="148" t="s">
        <v>222</v>
      </c>
      <c r="C160" s="78">
        <v>1960</v>
      </c>
      <c r="D160" s="226"/>
      <c r="E160" s="231" t="s">
        <v>26</v>
      </c>
      <c r="F160" s="78">
        <v>2</v>
      </c>
      <c r="G160" s="78">
        <v>2</v>
      </c>
      <c r="H160" s="224">
        <v>5707.1</v>
      </c>
      <c r="I160" s="224">
        <v>3296</v>
      </c>
      <c r="J160" s="224">
        <v>527.2</v>
      </c>
      <c r="K160" s="7">
        <v>290</v>
      </c>
      <c r="L160" s="224">
        <f>'раздел 4'!C163</f>
        <v>463129.6</v>
      </c>
      <c r="M160" s="224">
        <v>0</v>
      </c>
      <c r="N160" s="224">
        <v>277877.76</v>
      </c>
      <c r="O160" s="224">
        <v>92625.92</v>
      </c>
      <c r="P160" s="224">
        <f>L160-N160-O160</f>
        <v>92625.91999999997</v>
      </c>
      <c r="Q160" s="103" t="s">
        <v>387</v>
      </c>
      <c r="R160" s="104" t="s">
        <v>303</v>
      </c>
      <c r="S160" s="109"/>
      <c r="T160" s="55" t="b">
        <f>L160='раздел 4'!C163</f>
        <v>1</v>
      </c>
      <c r="U160" s="55">
        <f>'раздел 4'!C163-раздел3!N160-раздел3!O160-раздел3!P160</f>
        <v>0</v>
      </c>
      <c r="V160" s="55">
        <f>L160-'раздел 4'!C163</f>
        <v>0</v>
      </c>
      <c r="Z160" s="212">
        <f t="shared" si="30"/>
        <v>0</v>
      </c>
    </row>
    <row r="161" spans="1:26" s="101" customFormat="1" ht="15">
      <c r="A161" s="253" t="s">
        <v>60</v>
      </c>
      <c r="B161" s="253"/>
      <c r="C161" s="102" t="s">
        <v>33</v>
      </c>
      <c r="D161" s="102" t="s">
        <v>33</v>
      </c>
      <c r="E161" s="102" t="s">
        <v>33</v>
      </c>
      <c r="F161" s="102" t="s">
        <v>33</v>
      </c>
      <c r="G161" s="102" t="s">
        <v>33</v>
      </c>
      <c r="H161" s="224">
        <f>H160</f>
        <v>5707.1</v>
      </c>
      <c r="I161" s="224">
        <f aca="true" t="shared" si="36" ref="I161:P161">I160</f>
        <v>3296</v>
      </c>
      <c r="J161" s="224">
        <f t="shared" si="36"/>
        <v>527.2</v>
      </c>
      <c r="K161" s="7">
        <f t="shared" si="36"/>
        <v>290</v>
      </c>
      <c r="L161" s="224">
        <f>L160</f>
        <v>463129.6</v>
      </c>
      <c r="M161" s="224">
        <f t="shared" si="36"/>
        <v>0</v>
      </c>
      <c r="N161" s="224">
        <f t="shared" si="36"/>
        <v>277877.76</v>
      </c>
      <c r="O161" s="224">
        <f t="shared" si="36"/>
        <v>92625.92</v>
      </c>
      <c r="P161" s="224">
        <f t="shared" si="36"/>
        <v>92625.91999999997</v>
      </c>
      <c r="Q161" s="224" t="s">
        <v>33</v>
      </c>
      <c r="R161" s="102" t="s">
        <v>33</v>
      </c>
      <c r="S161" s="105">
        <f>L161-N161-O161-P161</f>
        <v>0</v>
      </c>
      <c r="T161" s="55" t="b">
        <f>L161='раздел 4'!C164</f>
        <v>1</v>
      </c>
      <c r="U161" s="55">
        <f>'раздел 4'!C164-раздел3!N161-раздел3!O161-раздел3!P161</f>
        <v>0</v>
      </c>
      <c r="V161" s="55">
        <f>L161-'раздел 4'!C164</f>
        <v>0</v>
      </c>
      <c r="Z161" s="212">
        <f t="shared" si="30"/>
        <v>0</v>
      </c>
    </row>
    <row r="162" spans="1:26" s="101" customFormat="1" ht="15">
      <c r="A162" s="259" t="s">
        <v>89</v>
      </c>
      <c r="B162" s="259"/>
      <c r="C162" s="259"/>
      <c r="D162" s="102"/>
      <c r="E162" s="102"/>
      <c r="F162" s="102"/>
      <c r="G162" s="102"/>
      <c r="H162" s="224"/>
      <c r="I162" s="224"/>
      <c r="J162" s="224"/>
      <c r="K162" s="7"/>
      <c r="L162" s="224"/>
      <c r="M162" s="224"/>
      <c r="N162" s="224"/>
      <c r="O162" s="224"/>
      <c r="P162" s="224"/>
      <c r="Q162" s="103"/>
      <c r="R162" s="231"/>
      <c r="S162" s="109"/>
      <c r="T162" s="55" t="b">
        <f>L162='раздел 4'!C165</f>
        <v>1</v>
      </c>
      <c r="U162" s="55">
        <f>'раздел 4'!C165-раздел3!N162-раздел3!O162-раздел3!P162</f>
        <v>0</v>
      </c>
      <c r="V162" s="55">
        <f>L162-'раздел 4'!C165</f>
        <v>0</v>
      </c>
      <c r="Z162" s="212">
        <f t="shared" si="30"/>
        <v>0</v>
      </c>
    </row>
    <row r="163" spans="1:26" s="101" customFormat="1" ht="25.5">
      <c r="A163" s="54">
        <f>A160+1</f>
        <v>93</v>
      </c>
      <c r="B163" s="82" t="s">
        <v>378</v>
      </c>
      <c r="C163" s="226">
        <v>1983</v>
      </c>
      <c r="D163" s="231"/>
      <c r="E163" s="226" t="s">
        <v>314</v>
      </c>
      <c r="F163" s="231">
        <v>5</v>
      </c>
      <c r="G163" s="231">
        <v>3</v>
      </c>
      <c r="H163" s="224">
        <v>4403</v>
      </c>
      <c r="I163" s="224">
        <v>2976</v>
      </c>
      <c r="J163" s="224">
        <v>2070.5</v>
      </c>
      <c r="K163" s="7">
        <v>249</v>
      </c>
      <c r="L163" s="224">
        <f>'раздел 4'!C166</f>
        <v>842307.74</v>
      </c>
      <c r="M163" s="224">
        <v>0</v>
      </c>
      <c r="N163" s="224">
        <v>505384.64</v>
      </c>
      <c r="O163" s="224">
        <v>168461.55</v>
      </c>
      <c r="P163" s="224">
        <f>L163-N163-O163</f>
        <v>168461.55</v>
      </c>
      <c r="Q163" s="103" t="s">
        <v>387</v>
      </c>
      <c r="R163" s="104" t="s">
        <v>303</v>
      </c>
      <c r="S163" s="109"/>
      <c r="T163" s="55" t="b">
        <f>L163='раздел 4'!C166</f>
        <v>1</v>
      </c>
      <c r="U163" s="55">
        <f>'раздел 4'!C166-раздел3!N163-раздел3!O163-раздел3!P163</f>
        <v>0</v>
      </c>
      <c r="V163" s="55">
        <f>L163-'раздел 4'!C166</f>
        <v>0</v>
      </c>
      <c r="Z163" s="212">
        <f t="shared" si="30"/>
        <v>0</v>
      </c>
    </row>
    <row r="164" spans="1:26" s="101" customFormat="1" ht="15">
      <c r="A164" s="274" t="s">
        <v>60</v>
      </c>
      <c r="B164" s="274"/>
      <c r="C164" s="102" t="s">
        <v>33</v>
      </c>
      <c r="D164" s="102" t="s">
        <v>33</v>
      </c>
      <c r="E164" s="102" t="s">
        <v>33</v>
      </c>
      <c r="F164" s="102" t="s">
        <v>33</v>
      </c>
      <c r="G164" s="102" t="s">
        <v>33</v>
      </c>
      <c r="H164" s="224">
        <f>SUM(H163:H163)</f>
        <v>4403</v>
      </c>
      <c r="I164" s="224">
        <f aca="true" t="shared" si="37" ref="I164:P164">SUM(I163:I163)</f>
        <v>2976</v>
      </c>
      <c r="J164" s="224">
        <f t="shared" si="37"/>
        <v>2070.5</v>
      </c>
      <c r="K164" s="7">
        <f t="shared" si="37"/>
        <v>249</v>
      </c>
      <c r="L164" s="224">
        <f>SUM(L163:L163)</f>
        <v>842307.74</v>
      </c>
      <c r="M164" s="224">
        <f t="shared" si="37"/>
        <v>0</v>
      </c>
      <c r="N164" s="224">
        <f t="shared" si="37"/>
        <v>505384.64</v>
      </c>
      <c r="O164" s="224">
        <f t="shared" si="37"/>
        <v>168461.55</v>
      </c>
      <c r="P164" s="224">
        <f t="shared" si="37"/>
        <v>168461.55</v>
      </c>
      <c r="Q164" s="224" t="s">
        <v>33</v>
      </c>
      <c r="R164" s="102" t="s">
        <v>33</v>
      </c>
      <c r="S164" s="105">
        <f>L164-N164-O164-P164</f>
        <v>0</v>
      </c>
      <c r="T164" s="55" t="b">
        <f>L164='раздел 4'!C167</f>
        <v>1</v>
      </c>
      <c r="U164" s="55">
        <f>'раздел 4'!C167-раздел3!N164-раздел3!O164-раздел3!P164</f>
        <v>0</v>
      </c>
      <c r="V164" s="55">
        <f>L164-'раздел 4'!C167</f>
        <v>0</v>
      </c>
      <c r="Z164" s="212">
        <f t="shared" si="30"/>
        <v>0</v>
      </c>
    </row>
    <row r="165" spans="1:26" s="101" customFormat="1" ht="15">
      <c r="A165" s="259" t="s">
        <v>306</v>
      </c>
      <c r="B165" s="259"/>
      <c r="C165" s="259"/>
      <c r="D165" s="102"/>
      <c r="E165" s="102"/>
      <c r="F165" s="102"/>
      <c r="G165" s="102"/>
      <c r="H165" s="224"/>
      <c r="I165" s="224"/>
      <c r="J165" s="224"/>
      <c r="K165" s="7"/>
      <c r="L165" s="224"/>
      <c r="M165" s="224"/>
      <c r="N165" s="224"/>
      <c r="O165" s="224"/>
      <c r="P165" s="224"/>
      <c r="Q165" s="103"/>
      <c r="R165" s="231"/>
      <c r="S165" s="105"/>
      <c r="T165" s="55" t="b">
        <f>L165='раздел 4'!C168</f>
        <v>1</v>
      </c>
      <c r="U165" s="55">
        <f>'раздел 4'!C168-раздел3!N165-раздел3!O165-раздел3!P165</f>
        <v>0</v>
      </c>
      <c r="V165" s="55">
        <f>L165-'раздел 4'!C168</f>
        <v>0</v>
      </c>
      <c r="Z165" s="212">
        <f t="shared" si="30"/>
        <v>0</v>
      </c>
    </row>
    <row r="166" spans="1:26" s="101" customFormat="1" ht="25.5">
      <c r="A166" s="54">
        <f>A163+1</f>
        <v>94</v>
      </c>
      <c r="B166" s="22" t="s">
        <v>307</v>
      </c>
      <c r="C166" s="72">
        <v>1971</v>
      </c>
      <c r="D166" s="135"/>
      <c r="E166" s="226" t="s">
        <v>314</v>
      </c>
      <c r="F166" s="8">
        <v>5</v>
      </c>
      <c r="G166" s="8">
        <v>8</v>
      </c>
      <c r="H166" s="102">
        <v>7734.7</v>
      </c>
      <c r="I166" s="102">
        <v>7734.7</v>
      </c>
      <c r="J166" s="102">
        <v>4778.2</v>
      </c>
      <c r="K166" s="8">
        <v>373</v>
      </c>
      <c r="L166" s="176">
        <v>275442.26</v>
      </c>
      <c r="M166" s="18">
        <v>0</v>
      </c>
      <c r="N166" s="224">
        <v>165265.36</v>
      </c>
      <c r="O166" s="224">
        <v>55088.45</v>
      </c>
      <c r="P166" s="224">
        <v>55088.45</v>
      </c>
      <c r="Q166" s="103" t="s">
        <v>387</v>
      </c>
      <c r="R166" s="117" t="s">
        <v>335</v>
      </c>
      <c r="S166" s="105"/>
      <c r="T166" s="55" t="b">
        <f>L166='раздел 4'!C169</f>
        <v>1</v>
      </c>
      <c r="U166" s="55">
        <f>'раздел 4'!C169-раздел3!N166-раздел3!O166-раздел3!P166</f>
        <v>0</v>
      </c>
      <c r="V166" s="55">
        <f>L166-'раздел 4'!C169</f>
        <v>0</v>
      </c>
      <c r="Z166" s="212">
        <f t="shared" si="30"/>
        <v>0</v>
      </c>
    </row>
    <row r="167" spans="1:26" s="101" customFormat="1" ht="25.5">
      <c r="A167" s="54">
        <f>A166+1</f>
        <v>95</v>
      </c>
      <c r="B167" s="22" t="s">
        <v>308</v>
      </c>
      <c r="C167" s="226">
        <v>1981</v>
      </c>
      <c r="D167" s="149"/>
      <c r="E167" s="226" t="s">
        <v>314</v>
      </c>
      <c r="F167" s="8">
        <v>5</v>
      </c>
      <c r="G167" s="8">
        <v>4</v>
      </c>
      <c r="H167" s="102">
        <v>3238</v>
      </c>
      <c r="I167" s="102">
        <v>3238</v>
      </c>
      <c r="J167" s="102">
        <v>2897.2</v>
      </c>
      <c r="K167" s="8">
        <v>163</v>
      </c>
      <c r="L167" s="176">
        <v>293439.53</v>
      </c>
      <c r="M167" s="18">
        <v>0</v>
      </c>
      <c r="N167" s="224">
        <v>176063.71</v>
      </c>
      <c r="O167" s="224">
        <v>58687.91</v>
      </c>
      <c r="P167" s="224">
        <v>58687.91</v>
      </c>
      <c r="Q167" s="103" t="s">
        <v>387</v>
      </c>
      <c r="R167" s="117" t="s">
        <v>335</v>
      </c>
      <c r="S167" s="105"/>
      <c r="T167" s="55" t="b">
        <f>L167='раздел 4'!C170</f>
        <v>1</v>
      </c>
      <c r="U167" s="55">
        <f>'раздел 4'!C170-раздел3!N167-раздел3!O167-раздел3!P167</f>
        <v>0</v>
      </c>
      <c r="V167" s="55">
        <f>L167-'раздел 4'!C170</f>
        <v>0</v>
      </c>
      <c r="Z167" s="212">
        <f t="shared" si="30"/>
        <v>0</v>
      </c>
    </row>
    <row r="168" spans="1:26" s="101" customFormat="1" ht="25.5">
      <c r="A168" s="54">
        <f>A167+1</f>
        <v>96</v>
      </c>
      <c r="B168" s="22" t="s">
        <v>309</v>
      </c>
      <c r="C168" s="72">
        <v>1983</v>
      </c>
      <c r="D168" s="150"/>
      <c r="E168" s="226" t="s">
        <v>314</v>
      </c>
      <c r="F168" s="8">
        <v>5</v>
      </c>
      <c r="G168" s="8">
        <v>4</v>
      </c>
      <c r="H168" s="102">
        <v>3274.9</v>
      </c>
      <c r="I168" s="102">
        <v>3274.9</v>
      </c>
      <c r="J168" s="102">
        <v>2628.3</v>
      </c>
      <c r="K168" s="8">
        <v>170</v>
      </c>
      <c r="L168" s="176">
        <v>292020.56</v>
      </c>
      <c r="M168" s="18">
        <v>0</v>
      </c>
      <c r="N168" s="224">
        <v>175212.34</v>
      </c>
      <c r="O168" s="224">
        <v>58404.11</v>
      </c>
      <c r="P168" s="224">
        <v>58404.11</v>
      </c>
      <c r="Q168" s="103" t="s">
        <v>387</v>
      </c>
      <c r="R168" s="117" t="s">
        <v>335</v>
      </c>
      <c r="S168" s="105"/>
      <c r="T168" s="55" t="b">
        <f>L168='раздел 4'!C171</f>
        <v>1</v>
      </c>
      <c r="U168" s="55">
        <f>'раздел 4'!C171-раздел3!N168-раздел3!O168-раздел3!P168</f>
        <v>0</v>
      </c>
      <c r="V168" s="55">
        <f>L168-'раздел 4'!C171</f>
        <v>0</v>
      </c>
      <c r="Z168" s="212">
        <f t="shared" si="30"/>
        <v>0</v>
      </c>
    </row>
    <row r="169" spans="1:26" s="101" customFormat="1" ht="25.5">
      <c r="A169" s="54">
        <f>A168+1</f>
        <v>97</v>
      </c>
      <c r="B169" s="22" t="s">
        <v>310</v>
      </c>
      <c r="C169" s="226">
        <v>1992</v>
      </c>
      <c r="D169" s="149"/>
      <c r="E169" s="226" t="s">
        <v>314</v>
      </c>
      <c r="F169" s="8">
        <v>5</v>
      </c>
      <c r="G169" s="8">
        <v>3</v>
      </c>
      <c r="H169" s="102">
        <v>3570.4</v>
      </c>
      <c r="I169" s="102">
        <v>3570.4</v>
      </c>
      <c r="J169" s="102">
        <v>3428.6</v>
      </c>
      <c r="K169" s="8">
        <v>123</v>
      </c>
      <c r="L169" s="176">
        <v>317941.44</v>
      </c>
      <c r="M169" s="18">
        <v>0</v>
      </c>
      <c r="N169" s="224">
        <v>190764.86</v>
      </c>
      <c r="O169" s="224">
        <v>63588.29</v>
      </c>
      <c r="P169" s="224">
        <v>63588.29</v>
      </c>
      <c r="Q169" s="103" t="s">
        <v>387</v>
      </c>
      <c r="R169" s="117" t="s">
        <v>335</v>
      </c>
      <c r="S169" s="105"/>
      <c r="T169" s="55" t="b">
        <f>L169='раздел 4'!C172</f>
        <v>1</v>
      </c>
      <c r="U169" s="55">
        <f>'раздел 4'!C172-раздел3!N169-раздел3!O169-раздел3!P169</f>
        <v>0</v>
      </c>
      <c r="V169" s="55">
        <f>L169-'раздел 4'!C172</f>
        <v>0</v>
      </c>
      <c r="Z169" s="212">
        <f t="shared" si="30"/>
        <v>0</v>
      </c>
    </row>
    <row r="170" spans="1:26" s="101" customFormat="1" ht="25.5">
      <c r="A170" s="54">
        <f>A169+1</f>
        <v>98</v>
      </c>
      <c r="B170" s="22" t="s">
        <v>311</v>
      </c>
      <c r="C170" s="72">
        <v>1993</v>
      </c>
      <c r="D170" s="150"/>
      <c r="E170" s="226" t="s">
        <v>314</v>
      </c>
      <c r="F170" s="8">
        <v>5</v>
      </c>
      <c r="G170" s="8">
        <v>3</v>
      </c>
      <c r="H170" s="102">
        <v>3599</v>
      </c>
      <c r="I170" s="102">
        <v>3599</v>
      </c>
      <c r="J170" s="102">
        <v>3373.4</v>
      </c>
      <c r="K170" s="8">
        <v>127</v>
      </c>
      <c r="L170" s="176">
        <f>'раздел 4'!C173</f>
        <v>682668.66</v>
      </c>
      <c r="M170" s="18">
        <v>0</v>
      </c>
      <c r="N170" s="224">
        <f>L170*60/100</f>
        <v>409601.196</v>
      </c>
      <c r="O170" s="224">
        <f>(L170-N170)/2</f>
        <v>136533.73200000002</v>
      </c>
      <c r="P170" s="224">
        <f>L170-N170-O170</f>
        <v>136533.73200000002</v>
      </c>
      <c r="Q170" s="103" t="s">
        <v>387</v>
      </c>
      <c r="R170" s="117" t="s">
        <v>335</v>
      </c>
      <c r="S170" s="105"/>
      <c r="T170" s="55" t="b">
        <f>L170='раздел 4'!C173</f>
        <v>1</v>
      </c>
      <c r="U170" s="55">
        <f>'раздел 4'!C173-раздел3!N170-раздел3!O170-раздел3!P170</f>
        <v>0</v>
      </c>
      <c r="V170" s="55">
        <f>L170-'раздел 4'!C173</f>
        <v>0</v>
      </c>
      <c r="Z170" s="212">
        <f t="shared" si="30"/>
        <v>0</v>
      </c>
    </row>
    <row r="171" spans="1:26" s="101" customFormat="1" ht="25.5">
      <c r="A171" s="54">
        <f>A170+1</f>
        <v>99</v>
      </c>
      <c r="B171" s="22" t="s">
        <v>312</v>
      </c>
      <c r="C171" s="231">
        <v>1995</v>
      </c>
      <c r="D171" s="54"/>
      <c r="E171" s="226" t="s">
        <v>314</v>
      </c>
      <c r="F171" s="8">
        <v>5</v>
      </c>
      <c r="G171" s="8">
        <v>3</v>
      </c>
      <c r="H171" s="224">
        <v>3648.1</v>
      </c>
      <c r="I171" s="224">
        <v>3648.1</v>
      </c>
      <c r="J171" s="224">
        <v>3533.3</v>
      </c>
      <c r="K171" s="8">
        <v>112</v>
      </c>
      <c r="L171" s="176">
        <v>805245.68</v>
      </c>
      <c r="M171" s="18">
        <v>0</v>
      </c>
      <c r="N171" s="224">
        <f>L171*60/100</f>
        <v>483147.40800000005</v>
      </c>
      <c r="O171" s="224">
        <f>(L171-N171)/2</f>
        <v>161049.136</v>
      </c>
      <c r="P171" s="224">
        <f>L171-N171-O171</f>
        <v>161049.136</v>
      </c>
      <c r="Q171" s="103" t="s">
        <v>387</v>
      </c>
      <c r="R171" s="117" t="s">
        <v>303</v>
      </c>
      <c r="S171" s="105"/>
      <c r="T171" s="55" t="b">
        <f>L171='раздел 4'!C174</f>
        <v>1</v>
      </c>
      <c r="U171" s="55">
        <f>'раздел 4'!C174-раздел3!N171-раздел3!O171-раздел3!P171</f>
        <v>0</v>
      </c>
      <c r="V171" s="55">
        <f>L171-'раздел 4'!C174</f>
        <v>0</v>
      </c>
      <c r="Z171" s="212">
        <f t="shared" si="30"/>
        <v>0</v>
      </c>
    </row>
    <row r="172" spans="1:26" s="101" customFormat="1" ht="15">
      <c r="A172" s="274" t="s">
        <v>60</v>
      </c>
      <c r="B172" s="274"/>
      <c r="C172" s="102" t="s">
        <v>33</v>
      </c>
      <c r="D172" s="102" t="s">
        <v>33</v>
      </c>
      <c r="E172" s="102" t="s">
        <v>33</v>
      </c>
      <c r="F172" s="102" t="s">
        <v>33</v>
      </c>
      <c r="G172" s="102" t="s">
        <v>33</v>
      </c>
      <c r="H172" s="224">
        <f>SUM(H166:H171)</f>
        <v>25065.1</v>
      </c>
      <c r="I172" s="224">
        <f aca="true" t="shared" si="38" ref="I172:P172">SUM(I166:I171)</f>
        <v>25065.1</v>
      </c>
      <c r="J172" s="224">
        <f t="shared" si="38"/>
        <v>20639</v>
      </c>
      <c r="K172" s="7">
        <f t="shared" si="38"/>
        <v>1068</v>
      </c>
      <c r="L172" s="224">
        <f>SUM(L166:L171)</f>
        <v>2666758.1300000004</v>
      </c>
      <c r="M172" s="224">
        <f t="shared" si="38"/>
        <v>0</v>
      </c>
      <c r="N172" s="224">
        <f t="shared" si="38"/>
        <v>1600054.874</v>
      </c>
      <c r="O172" s="224">
        <f>SUM(O166:O171)</f>
        <v>533351.628</v>
      </c>
      <c r="P172" s="224">
        <f t="shared" si="38"/>
        <v>533351.628</v>
      </c>
      <c r="Q172" s="224" t="s">
        <v>33</v>
      </c>
      <c r="R172" s="102" t="s">
        <v>33</v>
      </c>
      <c r="S172" s="109"/>
      <c r="T172" s="55" t="b">
        <f>L172='раздел 4'!C175</f>
        <v>1</v>
      </c>
      <c r="U172" s="55">
        <f>'раздел 4'!C175-раздел3!N172-раздел3!O172-раздел3!P172</f>
        <v>0</v>
      </c>
      <c r="V172" s="55">
        <f>L172-'раздел 4'!C175</f>
        <v>0</v>
      </c>
      <c r="Z172" s="212">
        <f t="shared" si="30"/>
        <v>0</v>
      </c>
    </row>
    <row r="173" spans="1:26" s="101" customFormat="1" ht="15.75" customHeight="1">
      <c r="A173" s="259" t="s">
        <v>243</v>
      </c>
      <c r="B173" s="259"/>
      <c r="C173" s="259"/>
      <c r="D173" s="102"/>
      <c r="E173" s="102"/>
      <c r="F173" s="102"/>
      <c r="G173" s="102"/>
      <c r="H173" s="224"/>
      <c r="I173" s="224"/>
      <c r="J173" s="224"/>
      <c r="K173" s="7"/>
      <c r="L173" s="224"/>
      <c r="M173" s="224"/>
      <c r="N173" s="224"/>
      <c r="O173" s="224"/>
      <c r="P173" s="224"/>
      <c r="Q173" s="231"/>
      <c r="R173" s="231"/>
      <c r="S173" s="109"/>
      <c r="T173" s="55" t="b">
        <f>L173='раздел 4'!C176</f>
        <v>1</v>
      </c>
      <c r="U173" s="55">
        <f>'раздел 4'!C176-раздел3!N173-раздел3!O173-раздел3!P173</f>
        <v>0</v>
      </c>
      <c r="V173" s="55">
        <f>L173-'раздел 4'!C176</f>
        <v>0</v>
      </c>
      <c r="W173" s="101" t="s">
        <v>187</v>
      </c>
      <c r="Z173" s="212">
        <f t="shared" si="30"/>
        <v>0</v>
      </c>
    </row>
    <row r="174" spans="1:26" s="101" customFormat="1" ht="15.75" customHeight="1">
      <c r="A174" s="54">
        <f>A171+1</f>
        <v>100</v>
      </c>
      <c r="B174" s="22" t="s">
        <v>220</v>
      </c>
      <c r="C174" s="8">
        <v>1967</v>
      </c>
      <c r="D174" s="102"/>
      <c r="E174" s="102" t="s">
        <v>26</v>
      </c>
      <c r="F174" s="102">
        <v>2</v>
      </c>
      <c r="G174" s="102">
        <v>2</v>
      </c>
      <c r="H174" s="224">
        <v>509.5</v>
      </c>
      <c r="I174" s="224">
        <v>509.5</v>
      </c>
      <c r="J174" s="224">
        <v>372.8</v>
      </c>
      <c r="K174" s="7">
        <v>41</v>
      </c>
      <c r="L174" s="224">
        <f>'раздел 4'!C177</f>
        <v>251439.06</v>
      </c>
      <c r="M174" s="224">
        <v>0</v>
      </c>
      <c r="N174" s="224">
        <v>150863.44</v>
      </c>
      <c r="O174" s="224">
        <v>50287.81</v>
      </c>
      <c r="P174" s="224">
        <f>L174-N174-O174</f>
        <v>50287.81</v>
      </c>
      <c r="Q174" s="103" t="s">
        <v>387</v>
      </c>
      <c r="R174" s="104" t="s">
        <v>303</v>
      </c>
      <c r="S174" s="109"/>
      <c r="T174" s="55" t="b">
        <f>L174='раздел 4'!C177</f>
        <v>1</v>
      </c>
      <c r="U174" s="55">
        <f>'раздел 4'!C177-раздел3!N174-раздел3!O174-раздел3!P174</f>
        <v>0</v>
      </c>
      <c r="V174" s="55">
        <f>L174-'раздел 4'!C177</f>
        <v>0</v>
      </c>
      <c r="Z174" s="212">
        <f t="shared" si="30"/>
        <v>0</v>
      </c>
    </row>
    <row r="175" spans="1:26" s="101" customFormat="1" ht="15.75" customHeight="1">
      <c r="A175" s="253" t="s">
        <v>60</v>
      </c>
      <c r="B175" s="253"/>
      <c r="C175" s="102" t="s">
        <v>33</v>
      </c>
      <c r="D175" s="102" t="s">
        <v>33</v>
      </c>
      <c r="E175" s="102" t="s">
        <v>33</v>
      </c>
      <c r="F175" s="102" t="s">
        <v>33</v>
      </c>
      <c r="G175" s="102" t="s">
        <v>33</v>
      </c>
      <c r="H175" s="224">
        <f>H174</f>
        <v>509.5</v>
      </c>
      <c r="I175" s="224">
        <f aca="true" t="shared" si="39" ref="I175:P175">I174</f>
        <v>509.5</v>
      </c>
      <c r="J175" s="224">
        <f t="shared" si="39"/>
        <v>372.8</v>
      </c>
      <c r="K175" s="7">
        <f t="shared" si="39"/>
        <v>41</v>
      </c>
      <c r="L175" s="224">
        <f t="shared" si="39"/>
        <v>251439.06</v>
      </c>
      <c r="M175" s="224">
        <f t="shared" si="39"/>
        <v>0</v>
      </c>
      <c r="N175" s="224">
        <f t="shared" si="39"/>
        <v>150863.44</v>
      </c>
      <c r="O175" s="224">
        <f t="shared" si="39"/>
        <v>50287.81</v>
      </c>
      <c r="P175" s="224">
        <f t="shared" si="39"/>
        <v>50287.81</v>
      </c>
      <c r="Q175" s="224" t="s">
        <v>33</v>
      </c>
      <c r="R175" s="102" t="s">
        <v>33</v>
      </c>
      <c r="S175" s="75"/>
      <c r="T175" s="55" t="b">
        <f>L175='раздел 4'!C178</f>
        <v>1</v>
      </c>
      <c r="U175" s="55">
        <f>'раздел 4'!C178-раздел3!N175-раздел3!O175-раздел3!P175</f>
        <v>0</v>
      </c>
      <c r="V175" s="55">
        <f>L175-'раздел 4'!C178</f>
        <v>0</v>
      </c>
      <c r="Z175" s="212">
        <f t="shared" si="30"/>
        <v>0</v>
      </c>
    </row>
    <row r="176" spans="1:26" s="101" customFormat="1" ht="15" customHeight="1">
      <c r="A176" s="276" t="s">
        <v>77</v>
      </c>
      <c r="B176" s="277"/>
      <c r="C176" s="102" t="s">
        <v>33</v>
      </c>
      <c r="D176" s="234" t="s">
        <v>33</v>
      </c>
      <c r="E176" s="234" t="s">
        <v>33</v>
      </c>
      <c r="F176" s="234" t="s">
        <v>33</v>
      </c>
      <c r="G176" s="234" t="s">
        <v>33</v>
      </c>
      <c r="H176" s="243">
        <f>H152+H158+H161+H164+H175+H172</f>
        <v>54321.86</v>
      </c>
      <c r="I176" s="243">
        <f>I152+I158+I161+I164+I175+I172</f>
        <v>50483.759999999995</v>
      </c>
      <c r="J176" s="243">
        <f>J152+J158+J161+J164+J175+J172</f>
        <v>40704.8</v>
      </c>
      <c r="K176" s="164">
        <f>K152+K158+K161+K164+K175+K172</f>
        <v>2504</v>
      </c>
      <c r="L176" s="243">
        <f>L152+L158+L161+L164+L172+L175</f>
        <v>12638727.610000001</v>
      </c>
      <c r="M176" s="243">
        <f>M152+M158+M161+M164+M172+M175</f>
        <v>0</v>
      </c>
      <c r="N176" s="243">
        <f>N152+N158+N161+N164+N172+N175</f>
        <v>7583236.573999999</v>
      </c>
      <c r="O176" s="243">
        <f>O152+O158+O161+O164+O172+O175</f>
        <v>2527745.5179999997</v>
      </c>
      <c r="P176" s="243">
        <f>P152+P158+P161+P164+P172+P175</f>
        <v>2527745.518</v>
      </c>
      <c r="Q176" s="224" t="s">
        <v>33</v>
      </c>
      <c r="R176" s="102" t="s">
        <v>33</v>
      </c>
      <c r="S176" s="105">
        <f>L176-N176-O176-P176</f>
        <v>0</v>
      </c>
      <c r="T176" s="55" t="b">
        <f>L176='раздел 4'!C179</f>
        <v>1</v>
      </c>
      <c r="U176" s="55">
        <f>'раздел 4'!C179-раздел3!N176-раздел3!O176-раздел3!P176</f>
        <v>0</v>
      </c>
      <c r="V176" s="55">
        <f>L176-'раздел 4'!C179</f>
        <v>0</v>
      </c>
      <c r="Z176" s="212">
        <f t="shared" si="30"/>
        <v>0</v>
      </c>
    </row>
    <row r="177" spans="1:26" s="101" customFormat="1" ht="15">
      <c r="A177" s="271" t="s">
        <v>371</v>
      </c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3"/>
      <c r="T177" s="55" t="b">
        <f>L177='раздел 4'!C180</f>
        <v>1</v>
      </c>
      <c r="U177" s="55">
        <f>'раздел 4'!C180-раздел3!N177-раздел3!O177-раздел3!P177</f>
        <v>0</v>
      </c>
      <c r="V177" s="55">
        <f>L177-'раздел 4'!C180</f>
        <v>0</v>
      </c>
      <c r="W177" s="57"/>
      <c r="X177" s="57"/>
      <c r="Z177" s="212">
        <f t="shared" si="30"/>
        <v>0</v>
      </c>
    </row>
    <row r="178" spans="1:26" s="101" customFormat="1" ht="15">
      <c r="A178" s="259" t="s">
        <v>244</v>
      </c>
      <c r="B178" s="259"/>
      <c r="C178" s="259"/>
      <c r="D178" s="141"/>
      <c r="E178" s="141"/>
      <c r="F178" s="141"/>
      <c r="G178" s="141"/>
      <c r="H178" s="141"/>
      <c r="I178" s="141"/>
      <c r="J178" s="141"/>
      <c r="K178" s="140"/>
      <c r="L178" s="125"/>
      <c r="M178" s="125"/>
      <c r="N178" s="125"/>
      <c r="O178" s="125"/>
      <c r="P178" s="125"/>
      <c r="Q178" s="141"/>
      <c r="R178" s="141"/>
      <c r="S178" s="141"/>
      <c r="T178" s="55" t="b">
        <f>L178='раздел 4'!C181</f>
        <v>1</v>
      </c>
      <c r="U178" s="55">
        <f>'раздел 4'!C181-раздел3!N178-раздел3!O178-раздел3!P178</f>
        <v>0</v>
      </c>
      <c r="V178" s="55">
        <f>L178-'раздел 4'!C181</f>
        <v>0</v>
      </c>
      <c r="W178" s="44" t="s">
        <v>284</v>
      </c>
      <c r="X178" s="56"/>
      <c r="Z178" s="212">
        <f t="shared" si="30"/>
        <v>0</v>
      </c>
    </row>
    <row r="179" spans="1:26" s="101" customFormat="1" ht="15">
      <c r="A179" s="72">
        <f>A174+1</f>
        <v>101</v>
      </c>
      <c r="B179" s="112" t="s">
        <v>225</v>
      </c>
      <c r="C179" s="78">
        <v>1960</v>
      </c>
      <c r="D179" s="226"/>
      <c r="E179" s="231" t="s">
        <v>26</v>
      </c>
      <c r="F179" s="78">
        <v>2</v>
      </c>
      <c r="G179" s="78">
        <v>2</v>
      </c>
      <c r="H179" s="77">
        <v>679.8</v>
      </c>
      <c r="I179" s="77">
        <v>632</v>
      </c>
      <c r="J179" s="77">
        <v>435.7</v>
      </c>
      <c r="K179" s="79">
        <v>26</v>
      </c>
      <c r="L179" s="77">
        <f>'раздел 4'!C182</f>
        <v>158959.07</v>
      </c>
      <c r="M179" s="77">
        <v>0</v>
      </c>
      <c r="N179" s="224">
        <v>95375.45</v>
      </c>
      <c r="O179" s="224">
        <v>31791.81</v>
      </c>
      <c r="P179" s="224">
        <f>L179-N179-O179</f>
        <v>31791.81000000001</v>
      </c>
      <c r="Q179" s="103" t="s">
        <v>387</v>
      </c>
      <c r="R179" s="104" t="s">
        <v>303</v>
      </c>
      <c r="S179" s="141"/>
      <c r="T179" s="55" t="b">
        <f>L179='раздел 4'!C182</f>
        <v>1</v>
      </c>
      <c r="U179" s="55">
        <f>'раздел 4'!C182-раздел3!N179-раздел3!O179-раздел3!P179</f>
        <v>0</v>
      </c>
      <c r="V179" s="55">
        <f>L179-'раздел 4'!C182</f>
        <v>0</v>
      </c>
      <c r="W179" s="56"/>
      <c r="X179" s="56"/>
      <c r="Z179" s="212">
        <f t="shared" si="30"/>
        <v>0</v>
      </c>
    </row>
    <row r="180" spans="1:26" s="101" customFormat="1" ht="15">
      <c r="A180" s="253" t="s">
        <v>60</v>
      </c>
      <c r="B180" s="253"/>
      <c r="C180" s="102" t="s">
        <v>33</v>
      </c>
      <c r="D180" s="102" t="s">
        <v>33</v>
      </c>
      <c r="E180" s="102" t="s">
        <v>33</v>
      </c>
      <c r="F180" s="102" t="s">
        <v>33</v>
      </c>
      <c r="G180" s="102" t="s">
        <v>33</v>
      </c>
      <c r="H180" s="77">
        <f>H179</f>
        <v>679.8</v>
      </c>
      <c r="I180" s="77">
        <f>I179</f>
        <v>632</v>
      </c>
      <c r="J180" s="77">
        <f>J179</f>
        <v>435.7</v>
      </c>
      <c r="K180" s="79">
        <f>K179</f>
        <v>26</v>
      </c>
      <c r="L180" s="102">
        <f>SUM(L179)</f>
        <v>158959.07</v>
      </c>
      <c r="M180" s="102">
        <f>SUM(M179)</f>
        <v>0</v>
      </c>
      <c r="N180" s="102">
        <f>SUM(N179)</f>
        <v>95375.45</v>
      </c>
      <c r="O180" s="102">
        <f>SUM(O179)</f>
        <v>31791.81</v>
      </c>
      <c r="P180" s="102">
        <f>SUM(P179)</f>
        <v>31791.81000000001</v>
      </c>
      <c r="Q180" s="224" t="s">
        <v>33</v>
      </c>
      <c r="R180" s="102" t="s">
        <v>33</v>
      </c>
      <c r="S180" s="105">
        <f>L180-N180-O180-P180</f>
        <v>0</v>
      </c>
      <c r="T180" s="55" t="b">
        <f>L180='раздел 4'!C183</f>
        <v>1</v>
      </c>
      <c r="U180" s="55">
        <f>'раздел 4'!C183-раздел3!N180-раздел3!O180-раздел3!P180</f>
        <v>0</v>
      </c>
      <c r="V180" s="55">
        <f>L180-'раздел 4'!C183</f>
        <v>0</v>
      </c>
      <c r="W180" s="56"/>
      <c r="X180" s="56"/>
      <c r="Z180" s="212">
        <f t="shared" si="30"/>
        <v>0</v>
      </c>
    </row>
    <row r="181" spans="1:26" s="101" customFormat="1" ht="15">
      <c r="A181" s="259" t="s">
        <v>282</v>
      </c>
      <c r="B181" s="259"/>
      <c r="C181" s="259"/>
      <c r="D181" s="220"/>
      <c r="E181" s="220"/>
      <c r="F181" s="220"/>
      <c r="G181" s="220"/>
      <c r="H181" s="179"/>
      <c r="I181" s="179"/>
      <c r="J181" s="179"/>
      <c r="K181" s="181"/>
      <c r="L181" s="179"/>
      <c r="M181" s="179"/>
      <c r="N181" s="179"/>
      <c r="O181" s="179"/>
      <c r="P181" s="179"/>
      <c r="Q181" s="220"/>
      <c r="R181" s="220"/>
      <c r="S181" s="220"/>
      <c r="T181" s="55" t="b">
        <f>L181='раздел 4'!C184</f>
        <v>1</v>
      </c>
      <c r="U181" s="55">
        <f>'раздел 4'!C184-раздел3!N181-раздел3!O181-раздел3!P181</f>
        <v>0</v>
      </c>
      <c r="V181" s="55" t="e">
        <f>L181-'раздел 4'!#REF!</f>
        <v>#REF!</v>
      </c>
      <c r="W181" s="44" t="s">
        <v>284</v>
      </c>
      <c r="X181" s="99"/>
      <c r="Z181" s="212">
        <f t="shared" si="30"/>
        <v>0</v>
      </c>
    </row>
    <row r="182" spans="1:26" s="101" customFormat="1" ht="15">
      <c r="A182" s="72">
        <f>A179+1</f>
        <v>102</v>
      </c>
      <c r="B182" s="42" t="s">
        <v>226</v>
      </c>
      <c r="C182" s="231">
        <v>1913</v>
      </c>
      <c r="D182" s="226"/>
      <c r="E182" s="231" t="s">
        <v>26</v>
      </c>
      <c r="F182" s="231">
        <v>2</v>
      </c>
      <c r="G182" s="231">
        <v>3</v>
      </c>
      <c r="H182" s="224">
        <v>863.8</v>
      </c>
      <c r="I182" s="224">
        <v>765.1</v>
      </c>
      <c r="J182" s="224">
        <v>288.56</v>
      </c>
      <c r="K182" s="7">
        <v>36</v>
      </c>
      <c r="L182" s="224">
        <v>203324.41</v>
      </c>
      <c r="M182" s="224">
        <v>0</v>
      </c>
      <c r="N182" s="224">
        <v>121994.65</v>
      </c>
      <c r="O182" s="224">
        <v>40664.88</v>
      </c>
      <c r="P182" s="224">
        <v>40664.88000000001</v>
      </c>
      <c r="Q182" s="103" t="s">
        <v>387</v>
      </c>
      <c r="R182" s="104" t="s">
        <v>303</v>
      </c>
      <c r="S182" s="151"/>
      <c r="T182" s="55" t="b">
        <f>L182='раздел 4'!C185</f>
        <v>1</v>
      </c>
      <c r="U182" s="55">
        <f>'раздел 4'!C185-раздел3!N182-раздел3!O182-раздел3!P182</f>
        <v>0</v>
      </c>
      <c r="V182" s="55">
        <f>L182-'раздел 4'!C185</f>
        <v>0</v>
      </c>
      <c r="W182" s="57"/>
      <c r="X182" s="57"/>
      <c r="Z182" s="212">
        <f t="shared" si="30"/>
        <v>0</v>
      </c>
    </row>
    <row r="183" spans="1:26" s="101" customFormat="1" ht="15">
      <c r="A183" s="72">
        <f>A182+1</f>
        <v>103</v>
      </c>
      <c r="B183" s="42" t="s">
        <v>227</v>
      </c>
      <c r="C183" s="78">
        <v>1913</v>
      </c>
      <c r="D183" s="226"/>
      <c r="E183" s="231" t="s">
        <v>26</v>
      </c>
      <c r="F183" s="78">
        <v>3</v>
      </c>
      <c r="G183" s="78">
        <v>2</v>
      </c>
      <c r="H183" s="77">
        <v>1049.1</v>
      </c>
      <c r="I183" s="77">
        <v>961.5</v>
      </c>
      <c r="J183" s="77">
        <v>44.7</v>
      </c>
      <c r="K183" s="79">
        <v>46</v>
      </c>
      <c r="L183" s="224">
        <v>225309.44</v>
      </c>
      <c r="M183" s="224">
        <v>0</v>
      </c>
      <c r="N183" s="224">
        <v>135185.66</v>
      </c>
      <c r="O183" s="224">
        <v>45061.89</v>
      </c>
      <c r="P183" s="224">
        <v>45061.89</v>
      </c>
      <c r="Q183" s="103" t="s">
        <v>387</v>
      </c>
      <c r="R183" s="104" t="s">
        <v>303</v>
      </c>
      <c r="S183" s="151"/>
      <c r="T183" s="55" t="b">
        <f>L183='раздел 4'!C186</f>
        <v>1</v>
      </c>
      <c r="U183" s="55">
        <f>'раздел 4'!C186-раздел3!N183-раздел3!O183-раздел3!P183</f>
        <v>0</v>
      </c>
      <c r="V183" s="55">
        <f>L183-'раздел 4'!C186</f>
        <v>0</v>
      </c>
      <c r="W183" s="57"/>
      <c r="X183" s="56"/>
      <c r="Z183" s="212">
        <f t="shared" si="30"/>
        <v>0</v>
      </c>
    </row>
    <row r="184" spans="1:26" s="101" customFormat="1" ht="15">
      <c r="A184" s="72">
        <f aca="true" t="shared" si="40" ref="A184:A191">A183+1</f>
        <v>104</v>
      </c>
      <c r="B184" s="42" t="s">
        <v>228</v>
      </c>
      <c r="C184" s="78">
        <v>1939</v>
      </c>
      <c r="D184" s="226"/>
      <c r="E184" s="231" t="s">
        <v>26</v>
      </c>
      <c r="F184" s="78">
        <v>4</v>
      </c>
      <c r="G184" s="78">
        <v>3</v>
      </c>
      <c r="H184" s="77">
        <v>2339.3</v>
      </c>
      <c r="I184" s="77">
        <v>2144.9</v>
      </c>
      <c r="J184" s="77">
        <v>11319.27</v>
      </c>
      <c r="K184" s="79">
        <v>107</v>
      </c>
      <c r="L184" s="224">
        <v>337229</v>
      </c>
      <c r="M184" s="224">
        <v>0</v>
      </c>
      <c r="N184" s="224">
        <v>202337.4</v>
      </c>
      <c r="O184" s="224">
        <v>67445.8</v>
      </c>
      <c r="P184" s="224">
        <v>67445.8</v>
      </c>
      <c r="Q184" s="103" t="s">
        <v>387</v>
      </c>
      <c r="R184" s="104" t="s">
        <v>303</v>
      </c>
      <c r="S184" s="151"/>
      <c r="T184" s="55" t="b">
        <f>L184='раздел 4'!C187</f>
        <v>1</v>
      </c>
      <c r="U184" s="55">
        <f>'раздел 4'!C187-раздел3!N184-раздел3!O184-раздел3!P184</f>
        <v>0</v>
      </c>
      <c r="V184" s="55">
        <f>L184-'раздел 4'!C187</f>
        <v>0</v>
      </c>
      <c r="W184" s="57"/>
      <c r="X184" s="56"/>
      <c r="Z184" s="212">
        <f t="shared" si="30"/>
        <v>0</v>
      </c>
    </row>
    <row r="185" spans="1:26" s="101" customFormat="1" ht="15">
      <c r="A185" s="72">
        <f t="shared" si="40"/>
        <v>105</v>
      </c>
      <c r="B185" s="42" t="s">
        <v>229</v>
      </c>
      <c r="C185" s="78">
        <v>1960</v>
      </c>
      <c r="D185" s="226"/>
      <c r="E185" s="231" t="s">
        <v>26</v>
      </c>
      <c r="F185" s="78">
        <v>2</v>
      </c>
      <c r="G185" s="78">
        <v>2</v>
      </c>
      <c r="H185" s="77">
        <v>679.8</v>
      </c>
      <c r="I185" s="77">
        <v>632</v>
      </c>
      <c r="J185" s="77">
        <v>0</v>
      </c>
      <c r="K185" s="79">
        <v>26</v>
      </c>
      <c r="L185" s="224">
        <v>179677.9</v>
      </c>
      <c r="M185" s="224">
        <v>0</v>
      </c>
      <c r="N185" s="224">
        <v>107806.74</v>
      </c>
      <c r="O185" s="224">
        <v>35935.58</v>
      </c>
      <c r="P185" s="224">
        <v>35935.57999999999</v>
      </c>
      <c r="Q185" s="103" t="s">
        <v>387</v>
      </c>
      <c r="R185" s="104" t="s">
        <v>303</v>
      </c>
      <c r="S185" s="151"/>
      <c r="T185" s="55" t="b">
        <f>L185='раздел 4'!C188</f>
        <v>1</v>
      </c>
      <c r="U185" s="55">
        <f>'раздел 4'!C188-раздел3!N185-раздел3!O185-раздел3!P185</f>
        <v>0</v>
      </c>
      <c r="V185" s="55">
        <f>L185-'раздел 4'!C188</f>
        <v>0</v>
      </c>
      <c r="W185" s="57"/>
      <c r="X185" s="56"/>
      <c r="Z185" s="212">
        <f t="shared" si="30"/>
        <v>0</v>
      </c>
    </row>
    <row r="186" spans="1:26" s="101" customFormat="1" ht="15">
      <c r="A186" s="72">
        <f t="shared" si="40"/>
        <v>106</v>
      </c>
      <c r="B186" s="42" t="s">
        <v>382</v>
      </c>
      <c r="C186" s="231">
        <v>1983</v>
      </c>
      <c r="D186" s="226"/>
      <c r="E186" s="231" t="s">
        <v>230</v>
      </c>
      <c r="F186" s="231">
        <v>5</v>
      </c>
      <c r="G186" s="231">
        <v>12</v>
      </c>
      <c r="H186" s="224">
        <v>13133.6</v>
      </c>
      <c r="I186" s="224">
        <v>9959.3</v>
      </c>
      <c r="J186" s="224">
        <v>8788</v>
      </c>
      <c r="K186" s="7">
        <v>398</v>
      </c>
      <c r="L186" s="224">
        <v>825877.37</v>
      </c>
      <c r="M186" s="224">
        <v>0</v>
      </c>
      <c r="N186" s="224">
        <v>495526.43</v>
      </c>
      <c r="O186" s="224">
        <v>165175.47</v>
      </c>
      <c r="P186" s="224">
        <v>165175.47</v>
      </c>
      <c r="Q186" s="103" t="s">
        <v>387</v>
      </c>
      <c r="R186" s="104" t="s">
        <v>303</v>
      </c>
      <c r="S186" s="151"/>
      <c r="T186" s="55" t="b">
        <f>L186='раздел 4'!C189</f>
        <v>1</v>
      </c>
      <c r="U186" s="55">
        <f>'раздел 4'!C189-раздел3!N186-раздел3!O186-раздел3!P186</f>
        <v>0</v>
      </c>
      <c r="V186" s="55">
        <f>L186-'раздел 4'!C189</f>
        <v>0</v>
      </c>
      <c r="W186" s="57"/>
      <c r="X186" s="56"/>
      <c r="Z186" s="212">
        <f t="shared" si="30"/>
        <v>0</v>
      </c>
    </row>
    <row r="187" spans="1:26" s="101" customFormat="1" ht="15">
      <c r="A187" s="72">
        <f t="shared" si="40"/>
        <v>107</v>
      </c>
      <c r="B187" s="42" t="s">
        <v>381</v>
      </c>
      <c r="C187" s="78">
        <v>1917</v>
      </c>
      <c r="D187" s="226"/>
      <c r="E187" s="231" t="s">
        <v>26</v>
      </c>
      <c r="F187" s="78">
        <v>2</v>
      </c>
      <c r="G187" s="78">
        <v>1</v>
      </c>
      <c r="H187" s="77">
        <v>281.2</v>
      </c>
      <c r="I187" s="77">
        <v>259.7</v>
      </c>
      <c r="J187" s="77">
        <v>0</v>
      </c>
      <c r="K187" s="7">
        <v>7</v>
      </c>
      <c r="L187" s="224">
        <v>162916.74</v>
      </c>
      <c r="M187" s="224">
        <v>0</v>
      </c>
      <c r="N187" s="224">
        <v>97750.03999999998</v>
      </c>
      <c r="O187" s="224">
        <v>32583.35</v>
      </c>
      <c r="P187" s="224">
        <v>32583.35</v>
      </c>
      <c r="Q187" s="103" t="s">
        <v>387</v>
      </c>
      <c r="R187" s="104" t="s">
        <v>303</v>
      </c>
      <c r="S187" s="151"/>
      <c r="T187" s="55" t="b">
        <f>L187='раздел 4'!C190</f>
        <v>1</v>
      </c>
      <c r="U187" s="55">
        <f>'раздел 4'!C190-раздел3!N187-раздел3!O187-раздел3!P187</f>
        <v>0</v>
      </c>
      <c r="V187" s="55">
        <f>L187-'раздел 4'!C190</f>
        <v>0</v>
      </c>
      <c r="W187" s="57"/>
      <c r="X187" s="56"/>
      <c r="Z187" s="212">
        <f t="shared" si="30"/>
        <v>0</v>
      </c>
    </row>
    <row r="188" spans="1:26" s="101" customFormat="1" ht="15">
      <c r="A188" s="72">
        <f t="shared" si="40"/>
        <v>108</v>
      </c>
      <c r="B188" s="42" t="s">
        <v>231</v>
      </c>
      <c r="C188" s="78">
        <v>1978</v>
      </c>
      <c r="D188" s="226"/>
      <c r="E188" s="231" t="s">
        <v>26</v>
      </c>
      <c r="F188" s="231">
        <v>3</v>
      </c>
      <c r="G188" s="231">
        <v>3</v>
      </c>
      <c r="H188" s="224">
        <v>1646.4</v>
      </c>
      <c r="I188" s="224">
        <v>1463.8</v>
      </c>
      <c r="J188" s="224">
        <v>1175.35</v>
      </c>
      <c r="K188" s="7">
        <v>59</v>
      </c>
      <c r="L188" s="224">
        <v>210394.24</v>
      </c>
      <c r="M188" s="224">
        <v>0</v>
      </c>
      <c r="N188" s="224">
        <v>126236.54000000001</v>
      </c>
      <c r="O188" s="224">
        <v>42078.85</v>
      </c>
      <c r="P188" s="224">
        <v>42078.85</v>
      </c>
      <c r="Q188" s="103" t="s">
        <v>387</v>
      </c>
      <c r="R188" s="104" t="s">
        <v>303</v>
      </c>
      <c r="S188" s="151"/>
      <c r="T188" s="55" t="b">
        <f>L188='раздел 4'!C191</f>
        <v>1</v>
      </c>
      <c r="U188" s="55">
        <f>'раздел 4'!C191-раздел3!N188-раздел3!O188-раздел3!P188</f>
        <v>0</v>
      </c>
      <c r="V188" s="55">
        <f>L188-'раздел 4'!C191</f>
        <v>0</v>
      </c>
      <c r="W188" s="57"/>
      <c r="X188" s="56"/>
      <c r="Z188" s="212">
        <f t="shared" si="30"/>
        <v>0</v>
      </c>
    </row>
    <row r="189" spans="1:26" s="101" customFormat="1" ht="15">
      <c r="A189" s="72">
        <f t="shared" si="40"/>
        <v>109</v>
      </c>
      <c r="B189" s="42" t="s">
        <v>357</v>
      </c>
      <c r="C189" s="231">
        <v>1991</v>
      </c>
      <c r="D189" s="226"/>
      <c r="E189" s="231" t="s">
        <v>230</v>
      </c>
      <c r="F189" s="231">
        <v>3</v>
      </c>
      <c r="G189" s="231">
        <v>2</v>
      </c>
      <c r="H189" s="224">
        <v>1658.9</v>
      </c>
      <c r="I189" s="224">
        <v>1469.3</v>
      </c>
      <c r="J189" s="224">
        <v>1323</v>
      </c>
      <c r="K189" s="7">
        <v>70</v>
      </c>
      <c r="L189" s="224">
        <v>227238.61</v>
      </c>
      <c r="M189" s="224">
        <v>0</v>
      </c>
      <c r="N189" s="224">
        <v>136343.17</v>
      </c>
      <c r="O189" s="224">
        <v>45447.72</v>
      </c>
      <c r="P189" s="224">
        <v>45447.72</v>
      </c>
      <c r="Q189" s="103" t="s">
        <v>387</v>
      </c>
      <c r="R189" s="104" t="s">
        <v>303</v>
      </c>
      <c r="S189" s="151"/>
      <c r="T189" s="55" t="b">
        <f>L189='раздел 4'!C192</f>
        <v>1</v>
      </c>
      <c r="U189" s="55">
        <f>'раздел 4'!C192-раздел3!N189-раздел3!O189-раздел3!P189</f>
        <v>0</v>
      </c>
      <c r="V189" s="55">
        <f>L189-'раздел 4'!C192</f>
        <v>0</v>
      </c>
      <c r="W189" s="57"/>
      <c r="X189" s="56"/>
      <c r="Z189" s="212">
        <f t="shared" si="30"/>
        <v>0</v>
      </c>
    </row>
    <row r="190" spans="1:24" s="101" customFormat="1" ht="15">
      <c r="A190" s="72">
        <f t="shared" si="40"/>
        <v>110</v>
      </c>
      <c r="B190" s="85" t="s">
        <v>358</v>
      </c>
      <c r="C190" s="226">
        <v>1981</v>
      </c>
      <c r="D190" s="226"/>
      <c r="E190" s="231" t="s">
        <v>232</v>
      </c>
      <c r="F190" s="231">
        <v>5</v>
      </c>
      <c r="G190" s="231">
        <v>6</v>
      </c>
      <c r="H190" s="224">
        <v>6353.6</v>
      </c>
      <c r="I190" s="224">
        <v>6353.6</v>
      </c>
      <c r="J190" s="224">
        <v>4799.3</v>
      </c>
      <c r="K190" s="8">
        <v>155</v>
      </c>
      <c r="L190" s="224">
        <v>408379.98</v>
      </c>
      <c r="M190" s="224">
        <v>0</v>
      </c>
      <c r="N190" s="224">
        <v>245027.98</v>
      </c>
      <c r="O190" s="224">
        <v>81676</v>
      </c>
      <c r="P190" s="224">
        <v>81675.99999999997</v>
      </c>
      <c r="Q190" s="103" t="s">
        <v>387</v>
      </c>
      <c r="R190" s="104" t="s">
        <v>303</v>
      </c>
      <c r="S190" s="151"/>
      <c r="T190" s="55" t="b">
        <f>L190='раздел 4'!C193</f>
        <v>1</v>
      </c>
      <c r="U190" s="55">
        <f>'раздел 4'!C193-раздел3!N190-раздел3!O190-раздел3!P190</f>
        <v>0</v>
      </c>
      <c r="V190" s="55">
        <f>L190-'раздел 4'!C193</f>
        <v>0</v>
      </c>
      <c r="W190" s="57"/>
      <c r="X190" s="56"/>
    </row>
    <row r="191" spans="1:24" s="101" customFormat="1" ht="15">
      <c r="A191" s="72">
        <f t="shared" si="40"/>
        <v>111</v>
      </c>
      <c r="B191" s="42" t="s">
        <v>233</v>
      </c>
      <c r="C191" s="78">
        <v>1916</v>
      </c>
      <c r="D191" s="226"/>
      <c r="E191" s="231" t="s">
        <v>234</v>
      </c>
      <c r="F191" s="78">
        <v>3</v>
      </c>
      <c r="G191" s="78">
        <v>3</v>
      </c>
      <c r="H191" s="77">
        <v>1208.3</v>
      </c>
      <c r="I191" s="77">
        <v>1208.3</v>
      </c>
      <c r="J191" s="77">
        <v>1072.7</v>
      </c>
      <c r="K191" s="79">
        <v>46</v>
      </c>
      <c r="L191" s="224">
        <v>230668.97</v>
      </c>
      <c r="M191" s="224">
        <v>0</v>
      </c>
      <c r="N191" s="224">
        <v>138401.39</v>
      </c>
      <c r="O191" s="224">
        <v>46133.79</v>
      </c>
      <c r="P191" s="224">
        <v>46133.789999999986</v>
      </c>
      <c r="Q191" s="103" t="s">
        <v>387</v>
      </c>
      <c r="R191" s="104" t="s">
        <v>303</v>
      </c>
      <c r="S191" s="152">
        <f>L191-N191-O191-P191</f>
        <v>0</v>
      </c>
      <c r="T191" s="55" t="b">
        <f>L191='раздел 4'!C194</f>
        <v>1</v>
      </c>
      <c r="U191" s="55">
        <f>'раздел 4'!C194-раздел3!N191-раздел3!O191-раздел3!P191</f>
        <v>0</v>
      </c>
      <c r="V191" s="55">
        <f>L191-'раздел 4'!C194</f>
        <v>0</v>
      </c>
      <c r="W191" s="56"/>
      <c r="X191" s="56"/>
    </row>
    <row r="192" spans="1:24" s="101" customFormat="1" ht="15">
      <c r="A192" s="253" t="s">
        <v>60</v>
      </c>
      <c r="B192" s="253"/>
      <c r="C192" s="102" t="s">
        <v>33</v>
      </c>
      <c r="D192" s="102" t="s">
        <v>33</v>
      </c>
      <c r="E192" s="102" t="s">
        <v>33</v>
      </c>
      <c r="F192" s="102" t="s">
        <v>33</v>
      </c>
      <c r="G192" s="102" t="s">
        <v>33</v>
      </c>
      <c r="H192" s="102">
        <f aca="true" t="shared" si="41" ref="H192:P192">SUM(H182:H191)</f>
        <v>29214.000000000004</v>
      </c>
      <c r="I192" s="102">
        <f t="shared" si="41"/>
        <v>25217.499999999996</v>
      </c>
      <c r="J192" s="102">
        <f t="shared" si="41"/>
        <v>28810.879999999997</v>
      </c>
      <c r="K192" s="8">
        <f t="shared" si="41"/>
        <v>950</v>
      </c>
      <c r="L192" s="102">
        <f t="shared" si="41"/>
        <v>3011016.66</v>
      </c>
      <c r="M192" s="102">
        <f t="shared" si="41"/>
        <v>0</v>
      </c>
      <c r="N192" s="102">
        <f t="shared" si="41"/>
        <v>1806610</v>
      </c>
      <c r="O192" s="102">
        <f t="shared" si="41"/>
        <v>602203.33</v>
      </c>
      <c r="P192" s="102">
        <f t="shared" si="41"/>
        <v>602203.33</v>
      </c>
      <c r="Q192" s="224" t="s">
        <v>33</v>
      </c>
      <c r="R192" s="102" t="s">
        <v>33</v>
      </c>
      <c r="S192" s="220"/>
      <c r="T192" s="55" t="b">
        <f>L192='раздел 4'!C195</f>
        <v>1</v>
      </c>
      <c r="U192" s="55">
        <f>'раздел 4'!C195-раздел3!N192-раздел3!O192-раздел3!P192</f>
        <v>0</v>
      </c>
      <c r="V192" s="55">
        <f>L192-'раздел 4'!C195</f>
        <v>0</v>
      </c>
      <c r="W192" s="98"/>
      <c r="X192" s="99"/>
    </row>
    <row r="193" spans="1:23" s="101" customFormat="1" ht="15">
      <c r="A193" s="259" t="s">
        <v>90</v>
      </c>
      <c r="B193" s="259"/>
      <c r="C193" s="259"/>
      <c r="D193" s="231"/>
      <c r="E193" s="231"/>
      <c r="F193" s="260"/>
      <c r="G193" s="260"/>
      <c r="H193" s="260"/>
      <c r="I193" s="260"/>
      <c r="J193" s="260"/>
      <c r="K193" s="260"/>
      <c r="L193" s="260"/>
      <c r="M193" s="260"/>
      <c r="N193" s="260"/>
      <c r="O193" s="260"/>
      <c r="P193" s="260"/>
      <c r="Q193" s="260"/>
      <c r="R193" s="260"/>
      <c r="S193" s="214"/>
      <c r="T193" s="55" t="b">
        <f>L193='раздел 4'!C196</f>
        <v>1</v>
      </c>
      <c r="U193" s="55">
        <f>'раздел 4'!C196-раздел3!N193-раздел3!O193-раздел3!P193</f>
        <v>0</v>
      </c>
      <c r="V193" s="55">
        <f>L193-'раздел 4'!C196</f>
        <v>0</v>
      </c>
      <c r="W193" s="44"/>
    </row>
    <row r="194" spans="1:22" s="101" customFormat="1" ht="15">
      <c r="A194" s="72">
        <f>A191+1</f>
        <v>112</v>
      </c>
      <c r="B194" s="82" t="s">
        <v>122</v>
      </c>
      <c r="C194" s="106">
        <v>1978</v>
      </c>
      <c r="D194" s="106"/>
      <c r="E194" s="106" t="s">
        <v>25</v>
      </c>
      <c r="F194" s="106">
        <v>5</v>
      </c>
      <c r="G194" s="106">
        <v>4</v>
      </c>
      <c r="H194" s="142">
        <v>3968.5</v>
      </c>
      <c r="I194" s="142">
        <v>3243.5</v>
      </c>
      <c r="J194" s="142">
        <v>2392.4</v>
      </c>
      <c r="K194" s="163">
        <v>173</v>
      </c>
      <c r="L194" s="142">
        <f>'раздел 4'!C197</f>
        <v>116386.49</v>
      </c>
      <c r="M194" s="224">
        <v>0</v>
      </c>
      <c r="N194" s="224">
        <v>69831.89</v>
      </c>
      <c r="O194" s="224">
        <v>23277.3</v>
      </c>
      <c r="P194" s="224">
        <f>L194-N194-O194</f>
        <v>23277.300000000007</v>
      </c>
      <c r="Q194" s="103" t="s">
        <v>387</v>
      </c>
      <c r="R194" s="104" t="s">
        <v>303</v>
      </c>
      <c r="S194" s="109"/>
      <c r="T194" s="55" t="b">
        <f>L194='раздел 4'!C197</f>
        <v>1</v>
      </c>
      <c r="U194" s="55">
        <f>'раздел 4'!C197-раздел3!N194-раздел3!O194-раздел3!P194</f>
        <v>0</v>
      </c>
      <c r="V194" s="55">
        <f>L194-'раздел 4'!C197</f>
        <v>0</v>
      </c>
    </row>
    <row r="195" spans="1:22" s="101" customFormat="1" ht="15">
      <c r="A195" s="253" t="s">
        <v>60</v>
      </c>
      <c r="B195" s="253"/>
      <c r="C195" s="102" t="s">
        <v>33</v>
      </c>
      <c r="D195" s="102" t="s">
        <v>33</v>
      </c>
      <c r="E195" s="102" t="s">
        <v>33</v>
      </c>
      <c r="F195" s="102" t="s">
        <v>33</v>
      </c>
      <c r="G195" s="102" t="s">
        <v>33</v>
      </c>
      <c r="H195" s="102">
        <f>SUM(H194:H194)</f>
        <v>3968.5</v>
      </c>
      <c r="I195" s="102">
        <f aca="true" t="shared" si="42" ref="I195:P195">SUM(I194:I194)</f>
        <v>3243.5</v>
      </c>
      <c r="J195" s="102">
        <f t="shared" si="42"/>
        <v>2392.4</v>
      </c>
      <c r="K195" s="8">
        <f t="shared" si="42"/>
        <v>173</v>
      </c>
      <c r="L195" s="102">
        <f>SUM(L194:L194)</f>
        <v>116386.49</v>
      </c>
      <c r="M195" s="102">
        <f t="shared" si="42"/>
        <v>0</v>
      </c>
      <c r="N195" s="102">
        <f t="shared" si="42"/>
        <v>69831.89</v>
      </c>
      <c r="O195" s="102">
        <f t="shared" si="42"/>
        <v>23277.3</v>
      </c>
      <c r="P195" s="102">
        <f t="shared" si="42"/>
        <v>23277.300000000007</v>
      </c>
      <c r="Q195" s="224" t="s">
        <v>33</v>
      </c>
      <c r="R195" s="102" t="s">
        <v>33</v>
      </c>
      <c r="S195" s="105">
        <f>L195-N195-O195-P195</f>
        <v>0</v>
      </c>
      <c r="T195" s="55" t="b">
        <f>L195='раздел 4'!C198</f>
        <v>1</v>
      </c>
      <c r="U195" s="55">
        <f>'раздел 4'!C198-раздел3!N195-раздел3!O195-раздел3!P195</f>
        <v>0</v>
      </c>
      <c r="V195" s="55">
        <f>L195-'раздел 4'!C198</f>
        <v>0</v>
      </c>
    </row>
    <row r="196" spans="1:23" s="101" customFormat="1" ht="15">
      <c r="A196" s="259" t="s">
        <v>261</v>
      </c>
      <c r="B196" s="259"/>
      <c r="C196" s="259"/>
      <c r="D196" s="231"/>
      <c r="E196" s="231"/>
      <c r="F196" s="260"/>
      <c r="G196" s="260"/>
      <c r="H196" s="260"/>
      <c r="I196" s="260"/>
      <c r="J196" s="260"/>
      <c r="K196" s="260"/>
      <c r="L196" s="260"/>
      <c r="M196" s="260"/>
      <c r="N196" s="260"/>
      <c r="O196" s="260"/>
      <c r="P196" s="260"/>
      <c r="Q196" s="260"/>
      <c r="R196" s="260"/>
      <c r="S196" s="214"/>
      <c r="T196" s="55" t="b">
        <f>L196='раздел 4'!C199</f>
        <v>1</v>
      </c>
      <c r="U196" s="55">
        <f>'раздел 4'!C199-раздел3!N196-раздел3!O196-раздел3!P196</f>
        <v>0</v>
      </c>
      <c r="V196" s="55">
        <f>L196-'раздел 4'!C199</f>
        <v>0</v>
      </c>
      <c r="W196" s="101" t="s">
        <v>235</v>
      </c>
    </row>
    <row r="197" spans="1:22" s="101" customFormat="1" ht="15">
      <c r="A197" s="72">
        <f>A194+1</f>
        <v>113</v>
      </c>
      <c r="B197" s="35" t="s">
        <v>106</v>
      </c>
      <c r="C197" s="147">
        <v>1981</v>
      </c>
      <c r="D197" s="147"/>
      <c r="E197" s="147" t="s">
        <v>29</v>
      </c>
      <c r="F197" s="147">
        <v>3</v>
      </c>
      <c r="G197" s="147">
        <v>3</v>
      </c>
      <c r="H197" s="176">
        <v>2110</v>
      </c>
      <c r="I197" s="176">
        <v>1447.2</v>
      </c>
      <c r="J197" s="176">
        <v>872.6</v>
      </c>
      <c r="K197" s="177">
        <v>66</v>
      </c>
      <c r="L197" s="176">
        <f>'раздел 4'!C200</f>
        <v>851840.57</v>
      </c>
      <c r="M197" s="224">
        <v>0</v>
      </c>
      <c r="N197" s="224">
        <v>511104.35000000003</v>
      </c>
      <c r="O197" s="224">
        <v>170368.11000000002</v>
      </c>
      <c r="P197" s="224">
        <v>170368.11000000002</v>
      </c>
      <c r="Q197" s="103" t="s">
        <v>387</v>
      </c>
      <c r="R197" s="104" t="s">
        <v>303</v>
      </c>
      <c r="S197" s="109"/>
      <c r="T197" s="55" t="b">
        <f>L197='раздел 4'!C200</f>
        <v>1</v>
      </c>
      <c r="U197" s="55">
        <f>'раздел 4'!C200-раздел3!N197-раздел3!O197-раздел3!P197</f>
        <v>0</v>
      </c>
      <c r="V197" s="55">
        <f>L197-'раздел 4'!C200</f>
        <v>0</v>
      </c>
    </row>
    <row r="198" spans="1:22" s="101" customFormat="1" ht="15">
      <c r="A198" s="54">
        <f>A197+1</f>
        <v>114</v>
      </c>
      <c r="B198" s="35" t="s">
        <v>107</v>
      </c>
      <c r="C198" s="147">
        <v>1983</v>
      </c>
      <c r="D198" s="147"/>
      <c r="E198" s="147" t="s">
        <v>29</v>
      </c>
      <c r="F198" s="147">
        <v>4</v>
      </c>
      <c r="G198" s="147">
        <v>1</v>
      </c>
      <c r="H198" s="176">
        <v>702.7</v>
      </c>
      <c r="I198" s="176">
        <v>609.9</v>
      </c>
      <c r="J198" s="176">
        <v>359.1</v>
      </c>
      <c r="K198" s="177">
        <v>18</v>
      </c>
      <c r="L198" s="176">
        <f>'раздел 4'!C201</f>
        <v>195048.68</v>
      </c>
      <c r="M198" s="224">
        <v>0</v>
      </c>
      <c r="N198" s="224">
        <v>117029.22000000002</v>
      </c>
      <c r="O198" s="224">
        <v>39009.73</v>
      </c>
      <c r="P198" s="224">
        <v>39009.72999999999</v>
      </c>
      <c r="Q198" s="103" t="s">
        <v>387</v>
      </c>
      <c r="R198" s="104" t="s">
        <v>303</v>
      </c>
      <c r="S198" s="109"/>
      <c r="T198" s="55" t="b">
        <f>L198='раздел 4'!C201</f>
        <v>1</v>
      </c>
      <c r="U198" s="55">
        <f>'раздел 4'!C201-раздел3!N198-раздел3!O198-раздел3!P198</f>
        <v>0</v>
      </c>
      <c r="V198" s="55">
        <f>L198-'раздел 4'!C201</f>
        <v>0</v>
      </c>
    </row>
    <row r="199" spans="1:22" s="101" customFormat="1" ht="15">
      <c r="A199" s="54">
        <f>A198+1</f>
        <v>115</v>
      </c>
      <c r="B199" s="35" t="s">
        <v>108</v>
      </c>
      <c r="C199" s="147">
        <v>1981</v>
      </c>
      <c r="D199" s="147"/>
      <c r="E199" s="147" t="s">
        <v>29</v>
      </c>
      <c r="F199" s="147">
        <v>3</v>
      </c>
      <c r="G199" s="147">
        <v>3</v>
      </c>
      <c r="H199" s="176">
        <v>2102.1</v>
      </c>
      <c r="I199" s="176">
        <v>1441.1</v>
      </c>
      <c r="J199" s="176">
        <v>869.9</v>
      </c>
      <c r="K199" s="177">
        <v>69</v>
      </c>
      <c r="L199" s="176">
        <f>'раздел 4'!C202</f>
        <v>223559.84</v>
      </c>
      <c r="M199" s="224">
        <v>0</v>
      </c>
      <c r="N199" s="224">
        <v>134135.9</v>
      </c>
      <c r="O199" s="224">
        <v>44711.97</v>
      </c>
      <c r="P199" s="224">
        <v>44711.97</v>
      </c>
      <c r="Q199" s="103" t="s">
        <v>387</v>
      </c>
      <c r="R199" s="104" t="s">
        <v>303</v>
      </c>
      <c r="S199" s="109"/>
      <c r="T199" s="55" t="b">
        <f>L199='раздел 4'!C202</f>
        <v>1</v>
      </c>
      <c r="U199" s="55">
        <f>'раздел 4'!C202-раздел3!N199-раздел3!O199-раздел3!P199</f>
        <v>0</v>
      </c>
      <c r="V199" s="55">
        <f>L199-'раздел 4'!C202</f>
        <v>0</v>
      </c>
    </row>
    <row r="200" spans="1:22" s="101" customFormat="1" ht="15">
      <c r="A200" s="54">
        <f>A199+1</f>
        <v>116</v>
      </c>
      <c r="B200" s="35" t="s">
        <v>109</v>
      </c>
      <c r="C200" s="147">
        <v>1967</v>
      </c>
      <c r="D200" s="147"/>
      <c r="E200" s="147" t="s">
        <v>29</v>
      </c>
      <c r="F200" s="147">
        <v>3</v>
      </c>
      <c r="G200" s="147">
        <v>3</v>
      </c>
      <c r="H200" s="176">
        <v>1282.7</v>
      </c>
      <c r="I200" s="176">
        <v>1243.2</v>
      </c>
      <c r="J200" s="176">
        <v>842.3</v>
      </c>
      <c r="K200" s="177">
        <v>64</v>
      </c>
      <c r="L200" s="176">
        <f>'раздел 4'!C203</f>
        <v>713596.46</v>
      </c>
      <c r="M200" s="224">
        <v>0</v>
      </c>
      <c r="N200" s="224">
        <v>428157.88000000006</v>
      </c>
      <c r="O200" s="224">
        <v>142719.29000000004</v>
      </c>
      <c r="P200" s="224">
        <v>142719.28999999998</v>
      </c>
      <c r="Q200" s="103" t="s">
        <v>387</v>
      </c>
      <c r="R200" s="104" t="s">
        <v>303</v>
      </c>
      <c r="S200" s="109"/>
      <c r="T200" s="55" t="b">
        <f>L200='раздел 4'!C203</f>
        <v>1</v>
      </c>
      <c r="U200" s="55">
        <f>'раздел 4'!C203-раздел3!N200-раздел3!O200-раздел3!P200</f>
        <v>0</v>
      </c>
      <c r="V200" s="55">
        <f>L200-'раздел 4'!C203</f>
        <v>0</v>
      </c>
    </row>
    <row r="201" spans="1:22" s="101" customFormat="1" ht="15">
      <c r="A201" s="253" t="s">
        <v>60</v>
      </c>
      <c r="B201" s="257"/>
      <c r="C201" s="236" t="s">
        <v>33</v>
      </c>
      <c r="D201" s="236" t="s">
        <v>33</v>
      </c>
      <c r="E201" s="236" t="s">
        <v>33</v>
      </c>
      <c r="F201" s="236" t="s">
        <v>33</v>
      </c>
      <c r="G201" s="236" t="s">
        <v>33</v>
      </c>
      <c r="H201" s="18">
        <f aca="true" t="shared" si="43" ref="H201:P201">SUM(H197:H200)</f>
        <v>6197.499999999999</v>
      </c>
      <c r="I201" s="18">
        <f t="shared" si="43"/>
        <v>4741.4</v>
      </c>
      <c r="J201" s="18">
        <f t="shared" si="43"/>
        <v>2943.8999999999996</v>
      </c>
      <c r="K201" s="178">
        <f t="shared" si="43"/>
        <v>217</v>
      </c>
      <c r="L201" s="18">
        <f t="shared" si="43"/>
        <v>1984045.55</v>
      </c>
      <c r="M201" s="18">
        <f t="shared" si="43"/>
        <v>0</v>
      </c>
      <c r="N201" s="18">
        <f t="shared" si="43"/>
        <v>1190427.35</v>
      </c>
      <c r="O201" s="18">
        <f t="shared" si="43"/>
        <v>396809.1000000001</v>
      </c>
      <c r="P201" s="18">
        <f t="shared" si="43"/>
        <v>396809.1</v>
      </c>
      <c r="Q201" s="224" t="s">
        <v>33</v>
      </c>
      <c r="R201" s="102" t="s">
        <v>33</v>
      </c>
      <c r="S201" s="105">
        <f>L201-N201-O201-P201</f>
        <v>0</v>
      </c>
      <c r="T201" s="55" t="b">
        <f>L201='раздел 4'!C204</f>
        <v>1</v>
      </c>
      <c r="U201" s="55">
        <f>'раздел 4'!C204-раздел3!N201-раздел3!O201-раздел3!P201</f>
        <v>0</v>
      </c>
      <c r="V201" s="55">
        <f>L201-'раздел 4'!C204</f>
        <v>0</v>
      </c>
    </row>
    <row r="202" spans="1:23" s="101" customFormat="1" ht="15">
      <c r="A202" s="267" t="s">
        <v>138</v>
      </c>
      <c r="B202" s="267"/>
      <c r="C202" s="267"/>
      <c r="D202" s="231"/>
      <c r="E202" s="231"/>
      <c r="F202" s="260"/>
      <c r="G202" s="260"/>
      <c r="H202" s="260"/>
      <c r="I202" s="260"/>
      <c r="J202" s="260"/>
      <c r="K202" s="260"/>
      <c r="L202" s="260"/>
      <c r="M202" s="260"/>
      <c r="N202" s="260"/>
      <c r="O202" s="260"/>
      <c r="P202" s="260"/>
      <c r="Q202" s="260"/>
      <c r="R202" s="260"/>
      <c r="S202" s="214"/>
      <c r="T202" s="55" t="b">
        <f>L202='раздел 4'!C205</f>
        <v>1</v>
      </c>
      <c r="U202" s="55">
        <f>'раздел 4'!C205-раздел3!N202-раздел3!O202-раздел3!P202</f>
        <v>0</v>
      </c>
      <c r="V202" s="55">
        <f>L202-'раздел 4'!C205</f>
        <v>0</v>
      </c>
      <c r="W202" s="44"/>
    </row>
    <row r="203" spans="1:23" s="101" customFormat="1" ht="15">
      <c r="A203" s="54">
        <f>A200+1</f>
        <v>117</v>
      </c>
      <c r="B203" s="213" t="s">
        <v>363</v>
      </c>
      <c r="C203" s="153">
        <v>1978</v>
      </c>
      <c r="D203" s="153"/>
      <c r="E203" s="153" t="s">
        <v>24</v>
      </c>
      <c r="F203" s="153">
        <v>4</v>
      </c>
      <c r="G203" s="153">
        <v>1</v>
      </c>
      <c r="H203" s="180">
        <v>968.7</v>
      </c>
      <c r="I203" s="180">
        <v>747.7</v>
      </c>
      <c r="J203" s="180">
        <v>655.9</v>
      </c>
      <c r="K203" s="7">
        <v>124</v>
      </c>
      <c r="L203" s="176">
        <v>362319.99</v>
      </c>
      <c r="M203" s="224">
        <v>0</v>
      </c>
      <c r="N203" s="224">
        <v>217391.99</v>
      </c>
      <c r="O203" s="224">
        <v>72464</v>
      </c>
      <c r="P203" s="224">
        <v>72464</v>
      </c>
      <c r="Q203" s="103" t="s">
        <v>387</v>
      </c>
      <c r="R203" s="104" t="s">
        <v>303</v>
      </c>
      <c r="S203" s="214"/>
      <c r="T203" s="55" t="b">
        <f>L203='раздел 4'!C206</f>
        <v>1</v>
      </c>
      <c r="U203" s="55">
        <f>'раздел 4'!C206-раздел3!N203-раздел3!O203-раздел3!P203</f>
        <v>0</v>
      </c>
      <c r="V203" s="55">
        <f>L203-'раздел 4'!C206</f>
        <v>0</v>
      </c>
      <c r="W203" s="44"/>
    </row>
    <row r="204" spans="1:23" s="101" customFormat="1" ht="15">
      <c r="A204" s="154">
        <f>A203+1</f>
        <v>118</v>
      </c>
      <c r="B204" s="213" t="s">
        <v>364</v>
      </c>
      <c r="C204" s="153">
        <v>1989</v>
      </c>
      <c r="D204" s="153"/>
      <c r="E204" s="153" t="s">
        <v>139</v>
      </c>
      <c r="F204" s="153">
        <v>5</v>
      </c>
      <c r="G204" s="153">
        <v>3</v>
      </c>
      <c r="H204" s="180">
        <v>5036.8</v>
      </c>
      <c r="I204" s="180">
        <v>3705.8</v>
      </c>
      <c r="J204" s="180">
        <v>2780.7</v>
      </c>
      <c r="K204" s="7">
        <v>37</v>
      </c>
      <c r="L204" s="176">
        <v>208447.98</v>
      </c>
      <c r="M204" s="224">
        <v>0</v>
      </c>
      <c r="N204" s="224">
        <v>125068.78</v>
      </c>
      <c r="O204" s="224">
        <v>41689.6</v>
      </c>
      <c r="P204" s="224">
        <v>41689.60000000001</v>
      </c>
      <c r="Q204" s="103" t="s">
        <v>387</v>
      </c>
      <c r="R204" s="104" t="s">
        <v>303</v>
      </c>
      <c r="S204" s="214"/>
      <c r="T204" s="55" t="b">
        <f>L204='раздел 4'!C207</f>
        <v>1</v>
      </c>
      <c r="U204" s="55">
        <f>'раздел 4'!C207-раздел3!N204-раздел3!O204-раздел3!P204</f>
        <v>0</v>
      </c>
      <c r="V204" s="55">
        <f>L204-'раздел 4'!C207</f>
        <v>0</v>
      </c>
      <c r="W204" s="44"/>
    </row>
    <row r="205" spans="1:22" s="101" customFormat="1" ht="15">
      <c r="A205" s="72">
        <f>A204+1</f>
        <v>119</v>
      </c>
      <c r="B205" s="213" t="s">
        <v>365</v>
      </c>
      <c r="C205" s="226">
        <v>1987</v>
      </c>
      <c r="D205" s="226"/>
      <c r="E205" s="226" t="s">
        <v>139</v>
      </c>
      <c r="F205" s="226">
        <v>3</v>
      </c>
      <c r="G205" s="226">
        <v>6</v>
      </c>
      <c r="H205" s="102">
        <v>3330</v>
      </c>
      <c r="I205" s="102">
        <v>1708</v>
      </c>
      <c r="J205" s="102">
        <v>1367.1</v>
      </c>
      <c r="K205" s="8">
        <v>151</v>
      </c>
      <c r="L205" s="176">
        <v>1253683.72</v>
      </c>
      <c r="M205" s="224">
        <v>0</v>
      </c>
      <c r="N205" s="224">
        <v>752210.24</v>
      </c>
      <c r="O205" s="224">
        <v>250736.74</v>
      </c>
      <c r="P205" s="224">
        <v>250736.74</v>
      </c>
      <c r="Q205" s="103" t="s">
        <v>387</v>
      </c>
      <c r="R205" s="104" t="s">
        <v>303</v>
      </c>
      <c r="S205" s="109"/>
      <c r="T205" s="55" t="b">
        <f>L205='раздел 4'!C208</f>
        <v>1</v>
      </c>
      <c r="U205" s="55">
        <f>'раздел 4'!C208-раздел3!N205-раздел3!O205-раздел3!P205</f>
        <v>0</v>
      </c>
      <c r="V205" s="55">
        <f>L205-'раздел 4'!C208</f>
        <v>0</v>
      </c>
    </row>
    <row r="206" spans="1:22" s="101" customFormat="1" ht="15">
      <c r="A206" s="253" t="s">
        <v>60</v>
      </c>
      <c r="B206" s="253"/>
      <c r="C206" s="102" t="s">
        <v>33</v>
      </c>
      <c r="D206" s="102" t="s">
        <v>33</v>
      </c>
      <c r="E206" s="102" t="s">
        <v>33</v>
      </c>
      <c r="F206" s="102" t="s">
        <v>33</v>
      </c>
      <c r="G206" s="102" t="s">
        <v>33</v>
      </c>
      <c r="H206" s="102">
        <f>SUM(H203:H205)</f>
        <v>9335.5</v>
      </c>
      <c r="I206" s="102">
        <f>SUM(I203:I205)</f>
        <v>6161.5</v>
      </c>
      <c r="J206" s="102">
        <f>SUM(J203:J205)</f>
        <v>4803.7</v>
      </c>
      <c r="K206" s="8">
        <f>SUM(K203:K205)</f>
        <v>312</v>
      </c>
      <c r="L206" s="102">
        <f>L203+L204+L205</f>
        <v>1824451.69</v>
      </c>
      <c r="M206" s="102">
        <f>M203+M204+M205</f>
        <v>0</v>
      </c>
      <c r="N206" s="102">
        <f>N203+N204+N205</f>
        <v>1094671.01</v>
      </c>
      <c r="O206" s="102">
        <f>O203+O204+O205</f>
        <v>364890.33999999997</v>
      </c>
      <c r="P206" s="102">
        <f>P203+P204+P205</f>
        <v>364890.33999999997</v>
      </c>
      <c r="Q206" s="224" t="s">
        <v>33</v>
      </c>
      <c r="R206" s="102" t="s">
        <v>33</v>
      </c>
      <c r="S206" s="109"/>
      <c r="T206" s="55" t="b">
        <f>L206='раздел 4'!C209</f>
        <v>1</v>
      </c>
      <c r="U206" s="55">
        <f>'раздел 4'!C209-раздел3!N206-раздел3!O206-раздел3!P206</f>
        <v>0</v>
      </c>
      <c r="V206" s="55">
        <f>L206-'раздел 4'!C209</f>
        <v>0</v>
      </c>
    </row>
    <row r="207" spans="1:22" s="49" customFormat="1" ht="14.25" customHeight="1">
      <c r="A207" s="276" t="s">
        <v>79</v>
      </c>
      <c r="B207" s="277"/>
      <c r="C207" s="102" t="s">
        <v>33</v>
      </c>
      <c r="D207" s="234" t="s">
        <v>33</v>
      </c>
      <c r="E207" s="234" t="s">
        <v>33</v>
      </c>
      <c r="F207" s="234" t="s">
        <v>33</v>
      </c>
      <c r="G207" s="234" t="s">
        <v>33</v>
      </c>
      <c r="H207" s="243">
        <f aca="true" t="shared" si="44" ref="H207:P207">H180+H192+H195+H201+H206</f>
        <v>49395.3</v>
      </c>
      <c r="I207" s="243">
        <f t="shared" si="44"/>
        <v>39995.899999999994</v>
      </c>
      <c r="J207" s="243">
        <f t="shared" si="44"/>
        <v>39386.579999999994</v>
      </c>
      <c r="K207" s="164">
        <f t="shared" si="44"/>
        <v>1678</v>
      </c>
      <c r="L207" s="243">
        <f>L180+L192+L195+L201+L206</f>
        <v>7094859.460000001</v>
      </c>
      <c r="M207" s="243">
        <f t="shared" si="44"/>
        <v>0</v>
      </c>
      <c r="N207" s="243">
        <f t="shared" si="44"/>
        <v>4256915.7</v>
      </c>
      <c r="O207" s="243">
        <f t="shared" si="44"/>
        <v>1418971.88</v>
      </c>
      <c r="P207" s="243">
        <f t="shared" si="44"/>
        <v>1418971.88</v>
      </c>
      <c r="Q207" s="224" t="s">
        <v>33</v>
      </c>
      <c r="R207" s="102" t="s">
        <v>33</v>
      </c>
      <c r="S207" s="105">
        <f>L207-N207-O207-P207</f>
        <v>0</v>
      </c>
      <c r="T207" s="55" t="b">
        <f>L207='раздел 4'!C210</f>
        <v>1</v>
      </c>
      <c r="U207" s="55">
        <f>'раздел 4'!C210-раздел3!N207-раздел3!O207-раздел3!P207</f>
        <v>0</v>
      </c>
      <c r="V207" s="55">
        <f>L207-'раздел 4'!C210</f>
        <v>0</v>
      </c>
    </row>
    <row r="208" spans="1:22" s="101" customFormat="1" ht="15">
      <c r="A208" s="271" t="s">
        <v>370</v>
      </c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3"/>
      <c r="S208" s="221"/>
      <c r="T208" s="55" t="b">
        <f>L208='раздел 4'!C211</f>
        <v>1</v>
      </c>
      <c r="U208" s="55">
        <f>'раздел 4'!C211-раздел3!N208-раздел3!O208-раздел3!P208</f>
        <v>0</v>
      </c>
      <c r="V208" s="55">
        <f>L208-'раздел 4'!C211</f>
        <v>0</v>
      </c>
    </row>
    <row r="209" spans="1:23" s="101" customFormat="1" ht="15" customHeight="1">
      <c r="A209" s="267" t="s">
        <v>134</v>
      </c>
      <c r="B209" s="267"/>
      <c r="C209" s="267"/>
      <c r="D209" s="231"/>
      <c r="E209" s="231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260"/>
      <c r="S209" s="155"/>
      <c r="T209" s="55" t="b">
        <f>L209='раздел 4'!C212</f>
        <v>1</v>
      </c>
      <c r="U209" s="55">
        <f>'раздел 4'!C212-раздел3!N209-раздел3!O209-раздел3!P209</f>
        <v>0</v>
      </c>
      <c r="V209" s="55">
        <f>L209-'раздел 4'!C212</f>
        <v>0</v>
      </c>
      <c r="W209" s="53" t="s">
        <v>236</v>
      </c>
    </row>
    <row r="210" spans="1:22" s="101" customFormat="1" ht="22.5" customHeight="1">
      <c r="A210" s="72">
        <f>A205+1</f>
        <v>120</v>
      </c>
      <c r="B210" s="82" t="s">
        <v>379</v>
      </c>
      <c r="C210" s="226">
        <v>1974</v>
      </c>
      <c r="D210" s="226"/>
      <c r="E210" s="226" t="s">
        <v>237</v>
      </c>
      <c r="F210" s="226">
        <v>5</v>
      </c>
      <c r="G210" s="226">
        <v>4</v>
      </c>
      <c r="H210" s="102">
        <v>2968.56</v>
      </c>
      <c r="I210" s="102">
        <v>2968.56</v>
      </c>
      <c r="J210" s="102">
        <v>2744.56</v>
      </c>
      <c r="K210" s="8">
        <v>130</v>
      </c>
      <c r="L210" s="102">
        <f>'раздел 4'!C213</f>
        <v>1032346</v>
      </c>
      <c r="M210" s="102">
        <v>0</v>
      </c>
      <c r="N210" s="224">
        <v>619407.6</v>
      </c>
      <c r="O210" s="102">
        <v>206469.2</v>
      </c>
      <c r="P210" s="224">
        <f>L210-N210-O210</f>
        <v>206469.2</v>
      </c>
      <c r="Q210" s="103" t="s">
        <v>387</v>
      </c>
      <c r="R210" s="117" t="s">
        <v>335</v>
      </c>
      <c r="S210" s="109"/>
      <c r="T210" s="55" t="b">
        <f>L210='раздел 4'!C213</f>
        <v>1</v>
      </c>
      <c r="U210" s="55">
        <f>'раздел 4'!C213-раздел3!N210-раздел3!O210-раздел3!P210</f>
        <v>0</v>
      </c>
      <c r="V210" s="55">
        <f>L210-'раздел 4'!C213</f>
        <v>0</v>
      </c>
    </row>
    <row r="211" spans="1:22" s="101" customFormat="1" ht="15">
      <c r="A211" s="253" t="s">
        <v>60</v>
      </c>
      <c r="B211" s="253"/>
      <c r="C211" s="102" t="s">
        <v>33</v>
      </c>
      <c r="D211" s="102" t="s">
        <v>33</v>
      </c>
      <c r="E211" s="102" t="s">
        <v>33</v>
      </c>
      <c r="F211" s="102" t="s">
        <v>33</v>
      </c>
      <c r="G211" s="102" t="s">
        <v>33</v>
      </c>
      <c r="H211" s="224">
        <f>SUM(H210)</f>
        <v>2968.56</v>
      </c>
      <c r="I211" s="224">
        <f aca="true" t="shared" si="45" ref="I211:P211">SUM(I210)</f>
        <v>2968.56</v>
      </c>
      <c r="J211" s="224">
        <f t="shared" si="45"/>
        <v>2744.56</v>
      </c>
      <c r="K211" s="7">
        <f t="shared" si="45"/>
        <v>130</v>
      </c>
      <c r="L211" s="224">
        <f t="shared" si="45"/>
        <v>1032346</v>
      </c>
      <c r="M211" s="224">
        <f t="shared" si="45"/>
        <v>0</v>
      </c>
      <c r="N211" s="224">
        <f>SUM(N210)</f>
        <v>619407.6</v>
      </c>
      <c r="O211" s="224">
        <f t="shared" si="45"/>
        <v>206469.2</v>
      </c>
      <c r="P211" s="224">
        <f t="shared" si="45"/>
        <v>206469.2</v>
      </c>
      <c r="Q211" s="224" t="s">
        <v>33</v>
      </c>
      <c r="R211" s="102" t="s">
        <v>33</v>
      </c>
      <c r="S211" s="105">
        <f>L211-N211-O211-P211</f>
        <v>0</v>
      </c>
      <c r="T211" s="55" t="b">
        <f>L211='раздел 4'!C214</f>
        <v>1</v>
      </c>
      <c r="U211" s="55">
        <f>'раздел 4'!C214-раздел3!N211-раздел3!O211-раздел3!P211</f>
        <v>0</v>
      </c>
      <c r="V211" s="55">
        <f>L211-'раздел 4'!C214</f>
        <v>0</v>
      </c>
    </row>
    <row r="212" spans="1:23" s="101" customFormat="1" ht="15" customHeight="1">
      <c r="A212" s="259" t="s">
        <v>116</v>
      </c>
      <c r="B212" s="259"/>
      <c r="C212" s="259"/>
      <c r="D212" s="231"/>
      <c r="E212" s="231"/>
      <c r="F212" s="260"/>
      <c r="G212" s="260"/>
      <c r="H212" s="260"/>
      <c r="I212" s="260"/>
      <c r="J212" s="260"/>
      <c r="K212" s="260"/>
      <c r="L212" s="260"/>
      <c r="M212" s="260"/>
      <c r="N212" s="260"/>
      <c r="O212" s="260"/>
      <c r="P212" s="260"/>
      <c r="Q212" s="260"/>
      <c r="R212" s="260"/>
      <c r="S212" s="214"/>
      <c r="T212" s="55" t="b">
        <f>L212='раздел 4'!C215</f>
        <v>1</v>
      </c>
      <c r="U212" s="55">
        <f>'раздел 4'!C215-раздел3!N212-раздел3!O212-раздел3!P212</f>
        <v>0</v>
      </c>
      <c r="V212" s="55">
        <f>L212-'раздел 4'!C215</f>
        <v>0</v>
      </c>
      <c r="W212" s="101" t="s">
        <v>187</v>
      </c>
    </row>
    <row r="213" spans="1:22" s="101" customFormat="1" ht="15">
      <c r="A213" s="72">
        <f>A210+1</f>
        <v>121</v>
      </c>
      <c r="B213" s="112" t="s">
        <v>380</v>
      </c>
      <c r="C213" s="156">
        <v>1971</v>
      </c>
      <c r="D213" s="78"/>
      <c r="E213" s="156" t="s">
        <v>26</v>
      </c>
      <c r="F213" s="78">
        <v>2</v>
      </c>
      <c r="G213" s="78">
        <v>2</v>
      </c>
      <c r="H213" s="77">
        <v>780.1</v>
      </c>
      <c r="I213" s="77">
        <v>722.5</v>
      </c>
      <c r="J213" s="77">
        <v>547.3</v>
      </c>
      <c r="K213" s="183">
        <v>26</v>
      </c>
      <c r="L213" s="182">
        <f>'раздел 4'!C216</f>
        <v>172707.74</v>
      </c>
      <c r="M213" s="224">
        <v>0</v>
      </c>
      <c r="N213" s="224">
        <v>103624.64</v>
      </c>
      <c r="O213" s="102">
        <v>34541.55</v>
      </c>
      <c r="P213" s="224">
        <f>L213-N213-O213</f>
        <v>34541.54999999999</v>
      </c>
      <c r="Q213" s="103" t="s">
        <v>387</v>
      </c>
      <c r="R213" s="104" t="s">
        <v>303</v>
      </c>
      <c r="S213" s="109"/>
      <c r="T213" s="55" t="b">
        <f>L213='раздел 4'!C216</f>
        <v>1</v>
      </c>
      <c r="U213" s="55">
        <f>'раздел 4'!C216-раздел3!N213-раздел3!O213-раздел3!P213</f>
        <v>0</v>
      </c>
      <c r="V213" s="55">
        <f>L213-'раздел 4'!C216</f>
        <v>0</v>
      </c>
    </row>
    <row r="214" spans="1:22" s="101" customFormat="1" ht="15">
      <c r="A214" s="253" t="s">
        <v>60</v>
      </c>
      <c r="B214" s="253"/>
      <c r="C214" s="102" t="s">
        <v>33</v>
      </c>
      <c r="D214" s="102" t="s">
        <v>33</v>
      </c>
      <c r="E214" s="102" t="s">
        <v>33</v>
      </c>
      <c r="F214" s="102" t="s">
        <v>33</v>
      </c>
      <c r="G214" s="102" t="s">
        <v>33</v>
      </c>
      <c r="H214" s="224">
        <f aca="true" t="shared" si="46" ref="H214:P214">SUM(H213:H213)</f>
        <v>780.1</v>
      </c>
      <c r="I214" s="224">
        <f t="shared" si="46"/>
        <v>722.5</v>
      </c>
      <c r="J214" s="224">
        <f t="shared" si="46"/>
        <v>547.3</v>
      </c>
      <c r="K214" s="7">
        <f t="shared" si="46"/>
        <v>26</v>
      </c>
      <c r="L214" s="224">
        <f>SUM(L213:L213)</f>
        <v>172707.74</v>
      </c>
      <c r="M214" s="224">
        <f t="shared" si="46"/>
        <v>0</v>
      </c>
      <c r="N214" s="224">
        <f>SUM(N213:N213)</f>
        <v>103624.64</v>
      </c>
      <c r="O214" s="224">
        <f>SUM(O213:O213)</f>
        <v>34541.55</v>
      </c>
      <c r="P214" s="224">
        <f t="shared" si="46"/>
        <v>34541.54999999999</v>
      </c>
      <c r="Q214" s="224" t="s">
        <v>33</v>
      </c>
      <c r="R214" s="102" t="s">
        <v>33</v>
      </c>
      <c r="S214" s="109"/>
      <c r="T214" s="55" t="b">
        <f>L214='раздел 4'!C217</f>
        <v>1</v>
      </c>
      <c r="U214" s="55">
        <f>'раздел 4'!C217-раздел3!N214-раздел3!O214-раздел3!P214</f>
        <v>0</v>
      </c>
      <c r="V214" s="55">
        <f>L214-'раздел 4'!C217</f>
        <v>0</v>
      </c>
    </row>
    <row r="215" spans="1:23" s="101" customFormat="1" ht="15">
      <c r="A215" s="259" t="s">
        <v>91</v>
      </c>
      <c r="B215" s="259"/>
      <c r="C215" s="259"/>
      <c r="D215" s="231"/>
      <c r="E215" s="231"/>
      <c r="F215" s="260"/>
      <c r="G215" s="260"/>
      <c r="H215" s="260"/>
      <c r="I215" s="260"/>
      <c r="J215" s="260"/>
      <c r="K215" s="260"/>
      <c r="L215" s="260"/>
      <c r="M215" s="260"/>
      <c r="N215" s="260"/>
      <c r="O215" s="260"/>
      <c r="P215" s="260"/>
      <c r="Q215" s="260"/>
      <c r="R215" s="260"/>
      <c r="S215" s="214"/>
      <c r="T215" s="55" t="b">
        <f>L215='раздел 4'!C218</f>
        <v>1</v>
      </c>
      <c r="U215" s="55">
        <f>'раздел 4'!C218-раздел3!N215-раздел3!O215-раздел3!P215</f>
        <v>0</v>
      </c>
      <c r="V215" s="55">
        <f>L215-'раздел 4'!C218</f>
        <v>0</v>
      </c>
      <c r="W215" s="44" t="s">
        <v>208</v>
      </c>
    </row>
    <row r="216" spans="1:22" s="101" customFormat="1" ht="15">
      <c r="A216" s="72">
        <f>A213+1</f>
        <v>122</v>
      </c>
      <c r="B216" s="82" t="s">
        <v>126</v>
      </c>
      <c r="C216" s="226">
        <v>1985</v>
      </c>
      <c r="D216" s="226"/>
      <c r="E216" s="226" t="s">
        <v>28</v>
      </c>
      <c r="F216" s="226">
        <v>2</v>
      </c>
      <c r="G216" s="226">
        <v>1</v>
      </c>
      <c r="H216" s="102">
        <v>194.6</v>
      </c>
      <c r="I216" s="102">
        <v>194.6</v>
      </c>
      <c r="J216" s="102">
        <v>82</v>
      </c>
      <c r="K216" s="8">
        <v>8</v>
      </c>
      <c r="L216" s="102">
        <f>'раздел 4'!C219</f>
        <v>113889.09</v>
      </c>
      <c r="M216" s="102">
        <v>0</v>
      </c>
      <c r="N216" s="224">
        <v>68333.45</v>
      </c>
      <c r="O216" s="102">
        <v>22777.82</v>
      </c>
      <c r="P216" s="224">
        <f>L216-N216-O216</f>
        <v>22777.82</v>
      </c>
      <c r="Q216" s="103" t="s">
        <v>387</v>
      </c>
      <c r="R216" s="104" t="s">
        <v>303</v>
      </c>
      <c r="S216" s="109"/>
      <c r="T216" s="55" t="b">
        <f>L216='раздел 4'!C219</f>
        <v>1</v>
      </c>
      <c r="U216" s="55">
        <f>'раздел 4'!C219-раздел3!N216-раздел3!O216-раздел3!P216</f>
        <v>0</v>
      </c>
      <c r="V216" s="55">
        <f>L216-'раздел 4'!C219</f>
        <v>0</v>
      </c>
    </row>
    <row r="217" spans="1:22" s="101" customFormat="1" ht="15">
      <c r="A217" s="253" t="s">
        <v>60</v>
      </c>
      <c r="B217" s="253"/>
      <c r="C217" s="102" t="s">
        <v>33</v>
      </c>
      <c r="D217" s="102" t="s">
        <v>33</v>
      </c>
      <c r="E217" s="102" t="s">
        <v>33</v>
      </c>
      <c r="F217" s="102" t="s">
        <v>33</v>
      </c>
      <c r="G217" s="102" t="s">
        <v>33</v>
      </c>
      <c r="H217" s="224">
        <f aca="true" t="shared" si="47" ref="H217:P217">SUM(H216:H216)</f>
        <v>194.6</v>
      </c>
      <c r="I217" s="224">
        <f t="shared" si="47"/>
        <v>194.6</v>
      </c>
      <c r="J217" s="224">
        <f t="shared" si="47"/>
        <v>82</v>
      </c>
      <c r="K217" s="7">
        <f t="shared" si="47"/>
        <v>8</v>
      </c>
      <c r="L217" s="224">
        <f t="shared" si="47"/>
        <v>113889.09</v>
      </c>
      <c r="M217" s="224">
        <f t="shared" si="47"/>
        <v>0</v>
      </c>
      <c r="N217" s="224">
        <f t="shared" si="47"/>
        <v>68333.45</v>
      </c>
      <c r="O217" s="224">
        <f t="shared" si="47"/>
        <v>22777.82</v>
      </c>
      <c r="P217" s="224">
        <f t="shared" si="47"/>
        <v>22777.82</v>
      </c>
      <c r="Q217" s="224" t="s">
        <v>33</v>
      </c>
      <c r="R217" s="102" t="s">
        <v>33</v>
      </c>
      <c r="S217" s="109"/>
      <c r="T217" s="55" t="b">
        <f>L217='раздел 4'!C220</f>
        <v>1</v>
      </c>
      <c r="U217" s="55">
        <f>'раздел 4'!C220-раздел3!N217-раздел3!O217-раздел3!P217</f>
        <v>0</v>
      </c>
      <c r="V217" s="55">
        <f>L217-'раздел 4'!C220</f>
        <v>0</v>
      </c>
    </row>
    <row r="218" spans="1:22" s="95" customFormat="1" ht="14.25" customHeight="1">
      <c r="A218" s="276" t="s">
        <v>81</v>
      </c>
      <c r="B218" s="277"/>
      <c r="C218" s="102" t="s">
        <v>33</v>
      </c>
      <c r="D218" s="234" t="s">
        <v>33</v>
      </c>
      <c r="E218" s="234" t="s">
        <v>33</v>
      </c>
      <c r="F218" s="234" t="s">
        <v>33</v>
      </c>
      <c r="G218" s="234" t="s">
        <v>33</v>
      </c>
      <c r="H218" s="244">
        <f aca="true" t="shared" si="48" ref="H218:P218">H211+H214+H217</f>
        <v>3943.2599999999998</v>
      </c>
      <c r="I218" s="243">
        <f t="shared" si="48"/>
        <v>3885.66</v>
      </c>
      <c r="J218" s="243">
        <f t="shared" si="48"/>
        <v>3373.8599999999997</v>
      </c>
      <c r="K218" s="164">
        <f t="shared" si="48"/>
        <v>164</v>
      </c>
      <c r="L218" s="243">
        <f>L211+L214+L217</f>
        <v>1318942.83</v>
      </c>
      <c r="M218" s="243">
        <f t="shared" si="48"/>
        <v>0</v>
      </c>
      <c r="N218" s="243">
        <f t="shared" si="48"/>
        <v>791365.69</v>
      </c>
      <c r="O218" s="243">
        <f t="shared" si="48"/>
        <v>263788.57</v>
      </c>
      <c r="P218" s="243">
        <f t="shared" si="48"/>
        <v>263788.57</v>
      </c>
      <c r="Q218" s="224" t="s">
        <v>33</v>
      </c>
      <c r="R218" s="102" t="s">
        <v>33</v>
      </c>
      <c r="S218" s="245">
        <f>L218-N218-O218-P218</f>
        <v>0</v>
      </c>
      <c r="T218" s="55" t="b">
        <f>L218='раздел 4'!C221</f>
        <v>1</v>
      </c>
      <c r="U218" s="55">
        <f>'раздел 4'!C221-раздел3!N218-раздел3!O218-раздел3!P218</f>
        <v>0</v>
      </c>
      <c r="V218" s="55">
        <f>L218-'раздел 4'!C221</f>
        <v>0</v>
      </c>
    </row>
    <row r="219" spans="1:22" s="101" customFormat="1" ht="15.75" customHeight="1">
      <c r="A219" s="300" t="s">
        <v>316</v>
      </c>
      <c r="B219" s="301"/>
      <c r="C219" s="301"/>
      <c r="D219" s="301"/>
      <c r="E219" s="301"/>
      <c r="F219" s="301"/>
      <c r="G219" s="301"/>
      <c r="H219" s="301"/>
      <c r="I219" s="301"/>
      <c r="J219" s="301"/>
      <c r="K219" s="301"/>
      <c r="L219" s="301"/>
      <c r="M219" s="301"/>
      <c r="N219" s="301"/>
      <c r="O219" s="301"/>
      <c r="P219" s="301"/>
      <c r="Q219" s="301"/>
      <c r="R219" s="302"/>
      <c r="S219" s="105"/>
      <c r="T219" s="55" t="b">
        <f>L219='раздел 4'!C222</f>
        <v>1</v>
      </c>
      <c r="U219" s="55">
        <f>'раздел 4'!C222-раздел3!N219-раздел3!O219-раздел3!P219</f>
        <v>0</v>
      </c>
      <c r="V219" s="55">
        <f>L219-'раздел 4'!C222</f>
        <v>0</v>
      </c>
    </row>
    <row r="220" spans="1:22" s="101" customFormat="1" ht="15">
      <c r="A220" s="276" t="str">
        <f>'раздел 4'!A223</f>
        <v>Муниципальное образование Сланцевское городское поселение</v>
      </c>
      <c r="B220" s="277"/>
      <c r="C220" s="278"/>
      <c r="D220" s="234"/>
      <c r="E220" s="234"/>
      <c r="F220" s="234"/>
      <c r="G220" s="234"/>
      <c r="H220" s="224"/>
      <c r="I220" s="224"/>
      <c r="J220" s="224"/>
      <c r="K220" s="54"/>
      <c r="L220" s="86"/>
      <c r="M220" s="16"/>
      <c r="N220" s="86"/>
      <c r="O220" s="86"/>
      <c r="P220" s="86"/>
      <c r="Q220" s="231"/>
      <c r="R220" s="231"/>
      <c r="S220" s="105"/>
      <c r="T220" s="55" t="b">
        <f>L220='раздел 4'!C223</f>
        <v>1</v>
      </c>
      <c r="U220" s="55">
        <f>'раздел 4'!C223-раздел3!N220-раздел3!O220-раздел3!P220</f>
        <v>0</v>
      </c>
      <c r="V220" s="55">
        <f>L220-'раздел 4'!C223</f>
        <v>0</v>
      </c>
    </row>
    <row r="221" spans="1:22" s="101" customFormat="1" ht="15">
      <c r="A221" s="54">
        <f>A216+1</f>
        <v>123</v>
      </c>
      <c r="B221" s="213" t="str">
        <f>'раздел 4'!B224</f>
        <v>г.Сланцы, ул.Максима Горького, д.5/9</v>
      </c>
      <c r="C221" s="226">
        <v>1946</v>
      </c>
      <c r="D221" s="74"/>
      <c r="E221" s="73" t="s">
        <v>24</v>
      </c>
      <c r="F221" s="231">
        <v>2</v>
      </c>
      <c r="G221" s="231">
        <v>3</v>
      </c>
      <c r="H221" s="224">
        <v>2084.11</v>
      </c>
      <c r="I221" s="224">
        <v>1160.7</v>
      </c>
      <c r="J221" s="224">
        <v>1038.36</v>
      </c>
      <c r="K221" s="8">
        <v>42</v>
      </c>
      <c r="L221" s="224">
        <f>'раздел 4'!C224</f>
        <v>310605.19</v>
      </c>
      <c r="M221" s="224">
        <v>0</v>
      </c>
      <c r="N221" s="224">
        <v>120000</v>
      </c>
      <c r="O221" s="224">
        <v>40000</v>
      </c>
      <c r="P221" s="224">
        <f>L221-N221-O221</f>
        <v>150605.19</v>
      </c>
      <c r="Q221" s="103" t="s">
        <v>387</v>
      </c>
      <c r="R221" s="104" t="s">
        <v>303</v>
      </c>
      <c r="S221" s="157"/>
      <c r="T221" s="55" t="b">
        <f>L221='раздел 4'!C224</f>
        <v>1</v>
      </c>
      <c r="U221" s="55">
        <f>'раздел 4'!C224-раздел3!N221-раздел3!O221-раздел3!P221</f>
        <v>0</v>
      </c>
      <c r="V221" s="55">
        <f>L221-'раздел 4'!C224</f>
        <v>0</v>
      </c>
    </row>
    <row r="222" spans="1:22" s="101" customFormat="1" ht="15">
      <c r="A222" s="282" t="str">
        <f>'раздел 4'!A225</f>
        <v>Итого по муниципальному образованию</v>
      </c>
      <c r="B222" s="283"/>
      <c r="C222" s="102" t="s">
        <v>33</v>
      </c>
      <c r="D222" s="102" t="s">
        <v>33</v>
      </c>
      <c r="E222" s="102" t="s">
        <v>33</v>
      </c>
      <c r="F222" s="102" t="s">
        <v>33</v>
      </c>
      <c r="G222" s="102" t="s">
        <v>33</v>
      </c>
      <c r="H222" s="224">
        <f>H221</f>
        <v>2084.11</v>
      </c>
      <c r="I222" s="224">
        <f aca="true" t="shared" si="49" ref="I222:P222">I221</f>
        <v>1160.7</v>
      </c>
      <c r="J222" s="224">
        <f t="shared" si="49"/>
        <v>1038.36</v>
      </c>
      <c r="K222" s="7">
        <f t="shared" si="49"/>
        <v>42</v>
      </c>
      <c r="L222" s="224">
        <f t="shared" si="49"/>
        <v>310605.19</v>
      </c>
      <c r="M222" s="224">
        <f t="shared" si="49"/>
        <v>0</v>
      </c>
      <c r="N222" s="224">
        <f t="shared" si="49"/>
        <v>120000</v>
      </c>
      <c r="O222" s="224">
        <f t="shared" si="49"/>
        <v>40000</v>
      </c>
      <c r="P222" s="224">
        <f t="shared" si="49"/>
        <v>150605.19</v>
      </c>
      <c r="Q222" s="224" t="s">
        <v>33</v>
      </c>
      <c r="R222" s="102" t="s">
        <v>33</v>
      </c>
      <c r="S222" s="157"/>
      <c r="T222" s="55" t="b">
        <f>L222='раздел 4'!C225</f>
        <v>1</v>
      </c>
      <c r="U222" s="55">
        <f>'раздел 4'!C225-раздел3!N222-раздел3!O222-раздел3!P222</f>
        <v>0</v>
      </c>
      <c r="V222" s="55">
        <f>L222-'раздел 4'!C225</f>
        <v>0</v>
      </c>
    </row>
    <row r="223" spans="1:22" s="49" customFormat="1" ht="14.25" customHeight="1">
      <c r="A223" s="276" t="str">
        <f>'раздел 4'!A226</f>
        <v>Итого по Сланцевскому муниципальному району</v>
      </c>
      <c r="B223" s="277"/>
      <c r="C223" s="102" t="s">
        <v>33</v>
      </c>
      <c r="D223" s="234" t="s">
        <v>33</v>
      </c>
      <c r="E223" s="234" t="s">
        <v>33</v>
      </c>
      <c r="F223" s="234" t="s">
        <v>33</v>
      </c>
      <c r="G223" s="234" t="s">
        <v>33</v>
      </c>
      <c r="H223" s="243">
        <f>H222</f>
        <v>2084.11</v>
      </c>
      <c r="I223" s="243">
        <f aca="true" t="shared" si="50" ref="I223:P223">I222</f>
        <v>1160.7</v>
      </c>
      <c r="J223" s="243">
        <f t="shared" si="50"/>
        <v>1038.36</v>
      </c>
      <c r="K223" s="164">
        <f t="shared" si="50"/>
        <v>42</v>
      </c>
      <c r="L223" s="243">
        <f>L222</f>
        <v>310605.19</v>
      </c>
      <c r="M223" s="243">
        <f t="shared" si="50"/>
        <v>0</v>
      </c>
      <c r="N223" s="243">
        <f t="shared" si="50"/>
        <v>120000</v>
      </c>
      <c r="O223" s="243">
        <f t="shared" si="50"/>
        <v>40000</v>
      </c>
      <c r="P223" s="243">
        <f t="shared" si="50"/>
        <v>150605.19</v>
      </c>
      <c r="Q223" s="224" t="s">
        <v>33</v>
      </c>
      <c r="R223" s="102" t="s">
        <v>33</v>
      </c>
      <c r="S223" s="105"/>
      <c r="T223" s="55" t="b">
        <f>L223='раздел 4'!C226</f>
        <v>1</v>
      </c>
      <c r="U223" s="55">
        <f>'раздел 4'!C226-раздел3!N223-раздел3!O223-раздел3!P223</f>
        <v>0</v>
      </c>
      <c r="V223" s="55">
        <f>L223-'раздел 4'!C226</f>
        <v>0</v>
      </c>
    </row>
    <row r="224" spans="1:23" s="101" customFormat="1" ht="15">
      <c r="A224" s="271" t="s">
        <v>1</v>
      </c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3"/>
      <c r="S224" s="109"/>
      <c r="T224" s="55" t="b">
        <f>L224='раздел 4'!C227</f>
        <v>1</v>
      </c>
      <c r="U224" s="55">
        <f>'раздел 4'!C227-раздел3!N224-раздел3!O224-раздел3!P224</f>
        <v>0</v>
      </c>
      <c r="V224" s="55">
        <f>L224-'раздел 4'!C227</f>
        <v>0</v>
      </c>
      <c r="W224" s="101" t="s">
        <v>238</v>
      </c>
    </row>
    <row r="225" spans="1:22" s="101" customFormat="1" ht="15">
      <c r="A225" s="54">
        <f>A221+1</f>
        <v>124</v>
      </c>
      <c r="B225" s="29" t="s">
        <v>115</v>
      </c>
      <c r="C225" s="226">
        <v>1977</v>
      </c>
      <c r="D225" s="231"/>
      <c r="E225" s="231" t="s">
        <v>26</v>
      </c>
      <c r="F225" s="231">
        <v>12</v>
      </c>
      <c r="G225" s="231">
        <v>1</v>
      </c>
      <c r="H225" s="224">
        <v>3993</v>
      </c>
      <c r="I225" s="224">
        <v>2332.7</v>
      </c>
      <c r="J225" s="224">
        <v>2332.7</v>
      </c>
      <c r="K225" s="7">
        <v>193</v>
      </c>
      <c r="L225" s="224">
        <v>505163</v>
      </c>
      <c r="M225" s="224">
        <v>0</v>
      </c>
      <c r="N225" s="224">
        <v>303097.80397999997</v>
      </c>
      <c r="O225" s="102">
        <v>101032.59801000002</v>
      </c>
      <c r="P225" s="224">
        <v>101032.59801000005</v>
      </c>
      <c r="Q225" s="103" t="s">
        <v>387</v>
      </c>
      <c r="R225" s="104" t="s">
        <v>303</v>
      </c>
      <c r="S225" s="109"/>
      <c r="T225" s="55" t="b">
        <f>L225='раздел 4'!C228</f>
        <v>1</v>
      </c>
      <c r="U225" s="55">
        <f>'раздел 4'!C228-раздел3!N225-раздел3!O225-раздел3!P225</f>
        <v>0</v>
      </c>
      <c r="V225" s="55">
        <f>L225-'раздел 4'!C228</f>
        <v>0</v>
      </c>
    </row>
    <row r="226" spans="1:22" s="49" customFormat="1" ht="14.25">
      <c r="A226" s="258" t="s">
        <v>60</v>
      </c>
      <c r="B226" s="258"/>
      <c r="C226" s="234" t="s">
        <v>33</v>
      </c>
      <c r="D226" s="234" t="s">
        <v>33</v>
      </c>
      <c r="E226" s="234" t="s">
        <v>33</v>
      </c>
      <c r="F226" s="234" t="s">
        <v>33</v>
      </c>
      <c r="G226" s="234" t="s">
        <v>33</v>
      </c>
      <c r="H226" s="244">
        <f aca="true" t="shared" si="51" ref="H226:P226">SUM(H225:H225)</f>
        <v>3993</v>
      </c>
      <c r="I226" s="243">
        <f t="shared" si="51"/>
        <v>2332.7</v>
      </c>
      <c r="J226" s="243">
        <f t="shared" si="51"/>
        <v>2332.7</v>
      </c>
      <c r="K226" s="164">
        <f t="shared" si="51"/>
        <v>193</v>
      </c>
      <c r="L226" s="243">
        <f>SUM(L225:L225)</f>
        <v>505163</v>
      </c>
      <c r="M226" s="243">
        <f t="shared" si="51"/>
        <v>0</v>
      </c>
      <c r="N226" s="243">
        <f t="shared" si="51"/>
        <v>303097.80397999997</v>
      </c>
      <c r="O226" s="243">
        <f t="shared" si="51"/>
        <v>101032.59801000002</v>
      </c>
      <c r="P226" s="243">
        <f t="shared" si="51"/>
        <v>101032.59801000005</v>
      </c>
      <c r="Q226" s="224" t="s">
        <v>33</v>
      </c>
      <c r="R226" s="102" t="s">
        <v>33</v>
      </c>
      <c r="S226" s="105">
        <f>L226-N226-O226-P226</f>
        <v>0</v>
      </c>
      <c r="T226" s="55" t="b">
        <f>L226='раздел 4'!C229</f>
        <v>1</v>
      </c>
      <c r="U226" s="55">
        <f>'раздел 4'!C229-раздел3!N226-раздел3!O226-раздел3!P226</f>
        <v>0</v>
      </c>
      <c r="V226" s="55">
        <f>L226-'раздел 4'!C229</f>
        <v>0</v>
      </c>
    </row>
    <row r="227" spans="1:22" s="101" customFormat="1" ht="15">
      <c r="A227" s="271" t="s">
        <v>369</v>
      </c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3"/>
      <c r="S227" s="221"/>
      <c r="T227" s="55" t="b">
        <f>L227='раздел 4'!C230</f>
        <v>1</v>
      </c>
      <c r="U227" s="55">
        <f>'раздел 4'!C230-раздел3!N227-раздел3!O227-раздел3!P227</f>
        <v>0</v>
      </c>
      <c r="V227" s="55">
        <f>L227-'раздел 4'!C230</f>
        <v>0</v>
      </c>
    </row>
    <row r="228" spans="1:23" s="101" customFormat="1" ht="15">
      <c r="A228" s="259" t="s">
        <v>83</v>
      </c>
      <c r="B228" s="259"/>
      <c r="C228" s="259"/>
      <c r="D228" s="231"/>
      <c r="E228" s="231"/>
      <c r="F228" s="260"/>
      <c r="G228" s="260"/>
      <c r="H228" s="260"/>
      <c r="I228" s="260"/>
      <c r="J228" s="260"/>
      <c r="K228" s="260"/>
      <c r="L228" s="260"/>
      <c r="M228" s="260"/>
      <c r="N228" s="260"/>
      <c r="O228" s="260"/>
      <c r="P228" s="260"/>
      <c r="Q228" s="260"/>
      <c r="R228" s="260"/>
      <c r="S228" s="214"/>
      <c r="T228" s="55" t="b">
        <f>L228='раздел 4'!C231</f>
        <v>1</v>
      </c>
      <c r="U228" s="55">
        <f>'раздел 4'!C231-раздел3!N228-раздел3!O228-раздел3!P228</f>
        <v>0</v>
      </c>
      <c r="V228" s="55">
        <f>L228-'раздел 4'!C231</f>
        <v>0</v>
      </c>
      <c r="W228" s="101" t="s">
        <v>239</v>
      </c>
    </row>
    <row r="229" spans="1:22" s="101" customFormat="1" ht="15">
      <c r="A229" s="72">
        <f>A225+1</f>
        <v>125</v>
      </c>
      <c r="B229" s="30" t="s">
        <v>117</v>
      </c>
      <c r="C229" s="158">
        <v>1972</v>
      </c>
      <c r="D229" s="158"/>
      <c r="E229" s="158" t="s">
        <v>35</v>
      </c>
      <c r="F229" s="158">
        <v>5</v>
      </c>
      <c r="G229" s="158">
        <v>8</v>
      </c>
      <c r="H229" s="184">
        <v>3859.4</v>
      </c>
      <c r="I229" s="184">
        <v>2439</v>
      </c>
      <c r="J229" s="184">
        <v>1921</v>
      </c>
      <c r="K229" s="189">
        <v>184</v>
      </c>
      <c r="L229" s="185">
        <v>352985.31</v>
      </c>
      <c r="M229" s="224">
        <v>0</v>
      </c>
      <c r="N229" s="224">
        <v>211791.19</v>
      </c>
      <c r="O229" s="102">
        <v>70597.06</v>
      </c>
      <c r="P229" s="224">
        <v>70597.06</v>
      </c>
      <c r="Q229" s="103" t="s">
        <v>387</v>
      </c>
      <c r="R229" s="104" t="s">
        <v>303</v>
      </c>
      <c r="S229" s="109"/>
      <c r="T229" s="55" t="b">
        <f>L229='раздел 4'!C232</f>
        <v>1</v>
      </c>
      <c r="U229" s="55">
        <f>'раздел 4'!C232-раздел3!N229-раздел3!O229-раздел3!P229</f>
        <v>0</v>
      </c>
      <c r="V229" s="55">
        <f>L229-'раздел 4'!C232</f>
        <v>0</v>
      </c>
    </row>
    <row r="230" spans="1:22" s="101" customFormat="1" ht="15">
      <c r="A230" s="8">
        <f>A229+1</f>
        <v>126</v>
      </c>
      <c r="B230" s="31" t="s">
        <v>118</v>
      </c>
      <c r="C230" s="159">
        <v>1972</v>
      </c>
      <c r="D230" s="159"/>
      <c r="E230" s="159" t="s">
        <v>35</v>
      </c>
      <c r="F230" s="159">
        <v>5</v>
      </c>
      <c r="G230" s="159">
        <v>8</v>
      </c>
      <c r="H230" s="186">
        <v>3916</v>
      </c>
      <c r="I230" s="186">
        <v>2515</v>
      </c>
      <c r="J230" s="186">
        <v>1991</v>
      </c>
      <c r="K230" s="190">
        <v>209</v>
      </c>
      <c r="L230" s="185">
        <v>352985.31</v>
      </c>
      <c r="M230" s="224">
        <v>0</v>
      </c>
      <c r="N230" s="224">
        <v>211791.19</v>
      </c>
      <c r="O230" s="102">
        <v>70597.06</v>
      </c>
      <c r="P230" s="224">
        <v>70597.06</v>
      </c>
      <c r="Q230" s="103" t="s">
        <v>387</v>
      </c>
      <c r="R230" s="104" t="s">
        <v>303</v>
      </c>
      <c r="S230" s="109"/>
      <c r="T230" s="55" t="b">
        <f>L230='раздел 4'!C233</f>
        <v>1</v>
      </c>
      <c r="U230" s="55">
        <f>'раздел 4'!C233-раздел3!N230-раздел3!O230-раздел3!P230</f>
        <v>0</v>
      </c>
      <c r="V230" s="55">
        <f>L230-'раздел 4'!C233</f>
        <v>0</v>
      </c>
    </row>
    <row r="231" spans="1:22" s="101" customFormat="1" ht="14.25" customHeight="1">
      <c r="A231" s="8">
        <f>A230+1</f>
        <v>127</v>
      </c>
      <c r="B231" s="26" t="s">
        <v>119</v>
      </c>
      <c r="C231" s="160">
        <v>1977</v>
      </c>
      <c r="D231" s="160"/>
      <c r="E231" s="160" t="s">
        <v>26</v>
      </c>
      <c r="F231" s="160">
        <v>2</v>
      </c>
      <c r="G231" s="160">
        <v>2</v>
      </c>
      <c r="H231" s="187">
        <v>782.8</v>
      </c>
      <c r="I231" s="187">
        <v>719.8</v>
      </c>
      <c r="J231" s="187">
        <v>501.7</v>
      </c>
      <c r="K231" s="191">
        <v>22</v>
      </c>
      <c r="L231" s="185">
        <v>189962.48</v>
      </c>
      <c r="M231" s="224">
        <v>0</v>
      </c>
      <c r="N231" s="224">
        <v>113977.48</v>
      </c>
      <c r="O231" s="102">
        <v>37992.5</v>
      </c>
      <c r="P231" s="224">
        <v>37992.500000000015</v>
      </c>
      <c r="Q231" s="103" t="s">
        <v>387</v>
      </c>
      <c r="R231" s="104" t="s">
        <v>303</v>
      </c>
      <c r="S231" s="109"/>
      <c r="T231" s="55" t="b">
        <f>L231='раздел 4'!C234</f>
        <v>1</v>
      </c>
      <c r="U231" s="55">
        <f>'раздел 4'!C234-раздел3!N231-раздел3!O231-раздел3!P231</f>
        <v>0</v>
      </c>
      <c r="V231" s="55">
        <f>L231-'раздел 4'!C234</f>
        <v>0</v>
      </c>
    </row>
    <row r="232" spans="1:22" s="101" customFormat="1" ht="15">
      <c r="A232" s="8">
        <f>A231+1</f>
        <v>128</v>
      </c>
      <c r="B232" s="32" t="s">
        <v>121</v>
      </c>
      <c r="C232" s="158">
        <v>1975</v>
      </c>
      <c r="D232" s="158"/>
      <c r="E232" s="158" t="s">
        <v>35</v>
      </c>
      <c r="F232" s="158">
        <v>3</v>
      </c>
      <c r="G232" s="158">
        <v>4</v>
      </c>
      <c r="H232" s="184">
        <v>1221.6</v>
      </c>
      <c r="I232" s="184">
        <v>1221.7</v>
      </c>
      <c r="J232" s="184">
        <v>1180.2</v>
      </c>
      <c r="K232" s="189">
        <v>58</v>
      </c>
      <c r="L232" s="185">
        <v>192955.45</v>
      </c>
      <c r="M232" s="224">
        <v>0</v>
      </c>
      <c r="N232" s="224">
        <v>115773.27</v>
      </c>
      <c r="O232" s="102">
        <v>38591.09</v>
      </c>
      <c r="P232" s="224">
        <v>38591.09000000001</v>
      </c>
      <c r="Q232" s="103" t="s">
        <v>387</v>
      </c>
      <c r="R232" s="104" t="s">
        <v>303</v>
      </c>
      <c r="S232" s="109"/>
      <c r="T232" s="55" t="b">
        <f>L232='раздел 4'!C235</f>
        <v>1</v>
      </c>
      <c r="U232" s="55">
        <f>'раздел 4'!C235-раздел3!N232-раздел3!O232-раздел3!P232</f>
        <v>0</v>
      </c>
      <c r="V232" s="55">
        <f>L232-'раздел 4'!C235</f>
        <v>0</v>
      </c>
    </row>
    <row r="233" spans="1:22" s="101" customFormat="1" ht="15">
      <c r="A233" s="8">
        <f>A232+1</f>
        <v>129</v>
      </c>
      <c r="B233" s="30" t="s">
        <v>120</v>
      </c>
      <c r="C233" s="161">
        <v>1961</v>
      </c>
      <c r="D233" s="161"/>
      <c r="E233" s="161" t="s">
        <v>25</v>
      </c>
      <c r="F233" s="161">
        <v>9</v>
      </c>
      <c r="G233" s="161">
        <v>6</v>
      </c>
      <c r="H233" s="188">
        <v>11574.6</v>
      </c>
      <c r="I233" s="188">
        <v>8922</v>
      </c>
      <c r="J233" s="188">
        <v>7640</v>
      </c>
      <c r="K233" s="192">
        <v>516</v>
      </c>
      <c r="L233" s="185">
        <v>723279.94</v>
      </c>
      <c r="M233" s="224">
        <v>0</v>
      </c>
      <c r="N233" s="224">
        <v>433967.96</v>
      </c>
      <c r="O233" s="102">
        <v>144655.99</v>
      </c>
      <c r="P233" s="224">
        <v>144655.98999999993</v>
      </c>
      <c r="Q233" s="103" t="s">
        <v>387</v>
      </c>
      <c r="R233" s="104" t="s">
        <v>303</v>
      </c>
      <c r="S233" s="105">
        <f>L233-N233-O233-P233</f>
        <v>0</v>
      </c>
      <c r="T233" s="55" t="b">
        <f>L233='раздел 4'!C236</f>
        <v>1</v>
      </c>
      <c r="U233" s="55">
        <f>'раздел 4'!C236-раздел3!N233-раздел3!O233-раздел3!P233</f>
        <v>0</v>
      </c>
      <c r="V233" s="55">
        <f>L233-'раздел 4'!C236</f>
        <v>0</v>
      </c>
    </row>
    <row r="234" spans="1:22" s="101" customFormat="1" ht="15">
      <c r="A234" s="253" t="s">
        <v>60</v>
      </c>
      <c r="B234" s="253"/>
      <c r="C234" s="102" t="s">
        <v>33</v>
      </c>
      <c r="D234" s="102" t="s">
        <v>33</v>
      </c>
      <c r="E234" s="102" t="s">
        <v>33</v>
      </c>
      <c r="F234" s="102" t="s">
        <v>33</v>
      </c>
      <c r="G234" s="102" t="s">
        <v>33</v>
      </c>
      <c r="H234" s="224">
        <f aca="true" t="shared" si="52" ref="H234:P234">SUM(H229:H233)</f>
        <v>21354.4</v>
      </c>
      <c r="I234" s="224">
        <f t="shared" si="52"/>
        <v>15817.5</v>
      </c>
      <c r="J234" s="224">
        <f t="shared" si="52"/>
        <v>13233.9</v>
      </c>
      <c r="K234" s="7">
        <f t="shared" si="52"/>
        <v>989</v>
      </c>
      <c r="L234" s="224">
        <f>SUM(L229:L233)</f>
        <v>1812168.49</v>
      </c>
      <c r="M234" s="224">
        <f t="shared" si="52"/>
        <v>0</v>
      </c>
      <c r="N234" s="224">
        <f t="shared" si="52"/>
        <v>1087301.09</v>
      </c>
      <c r="O234" s="224">
        <f t="shared" si="52"/>
        <v>362433.69999999995</v>
      </c>
      <c r="P234" s="224">
        <f t="shared" si="52"/>
        <v>362433.69999999995</v>
      </c>
      <c r="Q234" s="224" t="s">
        <v>33</v>
      </c>
      <c r="R234" s="102" t="s">
        <v>33</v>
      </c>
      <c r="S234" s="105">
        <f>L234-N234-O234-P234</f>
        <v>0</v>
      </c>
      <c r="T234" s="55" t="b">
        <f>L234='раздел 4'!C237</f>
        <v>1</v>
      </c>
      <c r="U234" s="55">
        <f>'раздел 4'!C237-раздел3!N234-раздел3!O234-раздел3!P234</f>
        <v>0</v>
      </c>
      <c r="V234" s="55">
        <f>L234-'раздел 4'!C237</f>
        <v>0</v>
      </c>
    </row>
    <row r="235" spans="1:22" s="21" customFormat="1" ht="15">
      <c r="A235" s="276" t="str">
        <f>'раздел 4'!A238</f>
        <v>Итого по Тихвинскому муниципальному району</v>
      </c>
      <c r="B235" s="277"/>
      <c r="C235" s="102" t="s">
        <v>33</v>
      </c>
      <c r="D235" s="102" t="s">
        <v>33</v>
      </c>
      <c r="E235" s="102" t="s">
        <v>33</v>
      </c>
      <c r="F235" s="102" t="s">
        <v>33</v>
      </c>
      <c r="G235" s="102" t="s">
        <v>33</v>
      </c>
      <c r="H235" s="243">
        <f aca="true" t="shared" si="53" ref="H235:P235">H234</f>
        <v>21354.4</v>
      </c>
      <c r="I235" s="243">
        <f t="shared" si="53"/>
        <v>15817.5</v>
      </c>
      <c r="J235" s="243">
        <f t="shared" si="53"/>
        <v>13233.9</v>
      </c>
      <c r="K235" s="164">
        <f t="shared" si="53"/>
        <v>989</v>
      </c>
      <c r="L235" s="243">
        <f>L234</f>
        <v>1812168.49</v>
      </c>
      <c r="M235" s="243">
        <f t="shared" si="53"/>
        <v>0</v>
      </c>
      <c r="N235" s="243">
        <f t="shared" si="53"/>
        <v>1087301.09</v>
      </c>
      <c r="O235" s="243">
        <f t="shared" si="53"/>
        <v>362433.69999999995</v>
      </c>
      <c r="P235" s="243">
        <f t="shared" si="53"/>
        <v>362433.69999999995</v>
      </c>
      <c r="Q235" s="224" t="s">
        <v>33</v>
      </c>
      <c r="R235" s="102" t="s">
        <v>33</v>
      </c>
      <c r="S235" s="105"/>
      <c r="T235" s="55" t="b">
        <f>L235='раздел 4'!C238</f>
        <v>1</v>
      </c>
      <c r="U235" s="55">
        <f>'раздел 4'!C238-раздел3!N235-раздел3!O235-раздел3!P235</f>
        <v>0</v>
      </c>
      <c r="V235" s="55"/>
    </row>
    <row r="236" spans="1:22" s="33" customFormat="1" ht="14.25">
      <c r="A236" s="267" t="s">
        <v>85</v>
      </c>
      <c r="B236" s="267"/>
      <c r="C236" s="223"/>
      <c r="D236" s="214"/>
      <c r="E236" s="214"/>
      <c r="F236" s="214"/>
      <c r="G236" s="214"/>
      <c r="H236" s="243">
        <f>H15+H20+H26+H35+H85+H116+H122+H132+H145+H176+H207+H218+H226+H235+H223</f>
        <v>404297.24</v>
      </c>
      <c r="I236" s="243">
        <f>I15+I20+I26+I35+I85+I116+I122+I132+I145+I176+I207+I218+I226+I235+I223</f>
        <v>327302.36000000004</v>
      </c>
      <c r="J236" s="243">
        <f>J15+J20+J26+J35+J85+J116+J122+J132+J145+J176+J207+J218+J226+J235+J223</f>
        <v>273095.71</v>
      </c>
      <c r="K236" s="164">
        <f>K15+K20+K26+K35+K85+K116+K122+K132+K145+K176+K207+K218+K226+K235+K223</f>
        <v>15455</v>
      </c>
      <c r="L236" s="243">
        <f>L15+L20+L26+L35+L85+L116+L122+L132+L145+L176+L207+L218+L223+L226+L235</f>
        <v>90301979.37899998</v>
      </c>
      <c r="M236" s="243">
        <f>M15+M20+M26+M35+M85+M116+M122+M132+M145+M176+M207+M218+M223+M226+M235</f>
        <v>0</v>
      </c>
      <c r="N236" s="243">
        <f>N15+N20+N26+N35+N85+N116+N122+N132+N145+N176+N207+N218+N223+N226+N235</f>
        <v>43224431.54</v>
      </c>
      <c r="O236" s="243">
        <f>O15+O20+O26+O35+O85+O116+O122+O132+O145+O176+O207+O218+O223+O226+O235</f>
        <v>13994429.221517142</v>
      </c>
      <c r="P236" s="243">
        <f>P15+P20+P26+P35+P85+P116+P122+P132+P145+P176+P207+P218+P223+P226+P235</f>
        <v>33083118.617482867</v>
      </c>
      <c r="Q236" s="214"/>
      <c r="R236" s="214"/>
      <c r="S236" s="105">
        <f>L236-N236-O236-P236</f>
        <v>-2.9802322387695312E-08</v>
      </c>
      <c r="T236" s="55" t="b">
        <f>L236='раздел 4'!C239</f>
        <v>1</v>
      </c>
      <c r="U236" s="55">
        <f>'раздел 4'!C239-раздел3!N236-раздел3!O236-раздел3!P236</f>
        <v>-2.9802322387695312E-08</v>
      </c>
      <c r="V236" s="55">
        <f>L236-'раздел 4'!C239</f>
        <v>0</v>
      </c>
    </row>
    <row r="237" spans="1:22" ht="15">
      <c r="A237" s="297" t="s">
        <v>86</v>
      </c>
      <c r="B237" s="297"/>
      <c r="C237" s="226"/>
      <c r="D237" s="231"/>
      <c r="E237" s="231"/>
      <c r="F237" s="231"/>
      <c r="G237" s="231"/>
      <c r="H237" s="224"/>
      <c r="I237" s="224"/>
      <c r="J237" s="224"/>
      <c r="K237" s="224"/>
      <c r="L237" s="224">
        <f>'раздел 4'!C240</f>
        <v>633926.6815819998</v>
      </c>
      <c r="M237" s="224">
        <f>'раздел 4'!D240</f>
        <v>0</v>
      </c>
      <c r="N237" s="224"/>
      <c r="O237" s="224"/>
      <c r="P237" s="224">
        <f>L237</f>
        <v>633926.6815819998</v>
      </c>
      <c r="Q237" s="231"/>
      <c r="R237" s="231"/>
      <c r="S237" s="12"/>
      <c r="T237" s="55" t="b">
        <f>L237='раздел 4'!C240</f>
        <v>1</v>
      </c>
      <c r="U237" s="55">
        <f>'раздел 4'!C240-раздел3!N237-раздел3!O237-раздел3!P237</f>
        <v>0</v>
      </c>
      <c r="V237" s="55">
        <f>L237-'раздел 4'!C240</f>
        <v>0</v>
      </c>
    </row>
    <row r="238" spans="1:22" ht="15">
      <c r="A238" s="259" t="s">
        <v>87</v>
      </c>
      <c r="B238" s="259"/>
      <c r="C238" s="226"/>
      <c r="D238" s="231"/>
      <c r="E238" s="231"/>
      <c r="F238" s="231"/>
      <c r="G238" s="231"/>
      <c r="H238" s="224"/>
      <c r="I238" s="224"/>
      <c r="J238" s="224"/>
      <c r="K238" s="224"/>
      <c r="L238" s="224">
        <f>L236+L237</f>
        <v>90935906.06058198</v>
      </c>
      <c r="M238" s="224">
        <f>M236+M237</f>
        <v>0</v>
      </c>
      <c r="N238" s="224">
        <f>N236+N237</f>
        <v>43224431.54</v>
      </c>
      <c r="O238" s="224">
        <f>O236+O237</f>
        <v>13994429.221517142</v>
      </c>
      <c r="P238" s="224">
        <f>P236+P237</f>
        <v>33717045.29906487</v>
      </c>
      <c r="Q238" s="231"/>
      <c r="R238" s="231"/>
      <c r="S238" s="162">
        <f>P210+P186+(P171)+P120+P47+P170+P169+P168+P167+P166</f>
        <v>1316708.7380000004</v>
      </c>
      <c r="T238" s="55" t="b">
        <f>L238='раздел 4'!C241</f>
        <v>1</v>
      </c>
      <c r="V238" s="55">
        <f>L238-'раздел 4'!C241</f>
        <v>0</v>
      </c>
    </row>
    <row r="239" ht="15"/>
    <row r="240" ht="15"/>
    <row r="241" ht="15" hidden="1"/>
    <row r="242" ht="15" hidden="1"/>
    <row r="243" ht="15">
      <c r="N243" s="211"/>
    </row>
    <row r="244" ht="15"/>
  </sheetData>
  <sheetProtection/>
  <autoFilter ref="A6:R240"/>
  <mergeCells count="140">
    <mergeCell ref="A218:B218"/>
    <mergeCell ref="A223:B223"/>
    <mergeCell ref="A208:R208"/>
    <mergeCell ref="F153:R153"/>
    <mergeCell ref="A196:C196"/>
    <mergeCell ref="A165:C165"/>
    <mergeCell ref="A193:C193"/>
    <mergeCell ref="A219:R219"/>
    <mergeCell ref="F212:R212"/>
    <mergeCell ref="A214:B214"/>
    <mergeCell ref="A19:B19"/>
    <mergeCell ref="A21:R21"/>
    <mergeCell ref="A116:B116"/>
    <mergeCell ref="A122:B122"/>
    <mergeCell ref="A176:B176"/>
    <mergeCell ref="A207:B207"/>
    <mergeCell ref="A123:R123"/>
    <mergeCell ref="F124:R124"/>
    <mergeCell ref="A86:R86"/>
    <mergeCell ref="A37:C37"/>
    <mergeCell ref="A27:R27"/>
    <mergeCell ref="A26:B26"/>
    <mergeCell ref="A35:B35"/>
    <mergeCell ref="A85:B85"/>
    <mergeCell ref="A175:B175"/>
    <mergeCell ref="A224:R224"/>
    <mergeCell ref="A91:B91"/>
    <mergeCell ref="F31:R31"/>
    <mergeCell ref="A87:C87"/>
    <mergeCell ref="A124:C124"/>
    <mergeCell ref="A238:B238"/>
    <mergeCell ref="F228:R228"/>
    <mergeCell ref="A236:B236"/>
    <mergeCell ref="A234:B234"/>
    <mergeCell ref="A237:B237"/>
    <mergeCell ref="A192:B192"/>
    <mergeCell ref="A228:C228"/>
    <mergeCell ref="A226:B226"/>
    <mergeCell ref="A222:B222"/>
    <mergeCell ref="A217:B217"/>
    <mergeCell ref="A25:B25"/>
    <mergeCell ref="A12:E12"/>
    <mergeCell ref="K2:K4"/>
    <mergeCell ref="F215:R215"/>
    <mergeCell ref="A209:C209"/>
    <mergeCell ref="A144:B144"/>
    <mergeCell ref="A212:C212"/>
    <mergeCell ref="A162:C162"/>
    <mergeCell ref="A95:B95"/>
    <mergeCell ref="A134:C134"/>
    <mergeCell ref="F8:R8"/>
    <mergeCell ref="F22:R22"/>
    <mergeCell ref="A7:R7"/>
    <mergeCell ref="A22:E22"/>
    <mergeCell ref="R2:R5"/>
    <mergeCell ref="A11:B11"/>
    <mergeCell ref="C3:C5"/>
    <mergeCell ref="D3:D5"/>
    <mergeCell ref="A20:B20"/>
    <mergeCell ref="A15:B15"/>
    <mergeCell ref="D1:P1"/>
    <mergeCell ref="A2:A5"/>
    <mergeCell ref="B2:B5"/>
    <mergeCell ref="C2:D2"/>
    <mergeCell ref="E2:E5"/>
    <mergeCell ref="F2:F5"/>
    <mergeCell ref="G2:G5"/>
    <mergeCell ref="L2:P2"/>
    <mergeCell ref="I3:I4"/>
    <mergeCell ref="L3:L4"/>
    <mergeCell ref="Q2:Q5"/>
    <mergeCell ref="H2:H4"/>
    <mergeCell ref="F12:R12"/>
    <mergeCell ref="F96:R96"/>
    <mergeCell ref="A73:B73"/>
    <mergeCell ref="J3:J4"/>
    <mergeCell ref="I2:J2"/>
    <mergeCell ref="A8:E8"/>
    <mergeCell ref="A65:C65"/>
    <mergeCell ref="A40:B40"/>
    <mergeCell ref="F17:R17"/>
    <mergeCell ref="A215:C215"/>
    <mergeCell ref="F81:R81"/>
    <mergeCell ref="A211:B211"/>
    <mergeCell ref="F209:R209"/>
    <mergeCell ref="A206:B206"/>
    <mergeCell ref="A164:B164"/>
    <mergeCell ref="A84:B84"/>
    <mergeCell ref="A92:C92"/>
    <mergeCell ref="A31:C31"/>
    <mergeCell ref="A14:B14"/>
    <mergeCell ref="A41:C41"/>
    <mergeCell ref="A16:R16"/>
    <mergeCell ref="A17:E17"/>
    <mergeCell ref="A227:R227"/>
    <mergeCell ref="A235:B235"/>
    <mergeCell ref="A172:B172"/>
    <mergeCell ref="A220:C220"/>
    <mergeCell ref="A181:C181"/>
    <mergeCell ref="A81:C81"/>
    <mergeCell ref="A34:B34"/>
    <mergeCell ref="A121:B121"/>
    <mergeCell ref="A74:C74"/>
    <mergeCell ref="A80:B80"/>
    <mergeCell ref="A153:C153"/>
    <mergeCell ref="A159:C159"/>
    <mergeCell ref="A58:B58"/>
    <mergeCell ref="A117:R117"/>
    <mergeCell ref="A133:Q133"/>
    <mergeCell ref="A141:B141"/>
    <mergeCell ref="A202:C202"/>
    <mergeCell ref="A195:B195"/>
    <mergeCell ref="A132:C132"/>
    <mergeCell ref="A201:B201"/>
    <mergeCell ref="A173:C173"/>
    <mergeCell ref="A178:C178"/>
    <mergeCell ref="A142:C142"/>
    <mergeCell ref="A146:Q146"/>
    <mergeCell ref="F202:R202"/>
    <mergeCell ref="A177:S177"/>
    <mergeCell ref="F41:R41"/>
    <mergeCell ref="F196:R196"/>
    <mergeCell ref="A152:B152"/>
    <mergeCell ref="A115:B115"/>
    <mergeCell ref="A180:B180"/>
    <mergeCell ref="F193:R193"/>
    <mergeCell ref="F147:R147"/>
    <mergeCell ref="A161:B161"/>
    <mergeCell ref="A131:B131"/>
    <mergeCell ref="A147:C147"/>
    <mergeCell ref="A30:B30"/>
    <mergeCell ref="A28:C28"/>
    <mergeCell ref="A158:B158"/>
    <mergeCell ref="A145:C145"/>
    <mergeCell ref="A96:C96"/>
    <mergeCell ref="F92:R92"/>
    <mergeCell ref="A36:R36"/>
    <mergeCell ref="A64:B64"/>
    <mergeCell ref="A59:C59"/>
    <mergeCell ref="A118:C118"/>
  </mergeCells>
  <printOptions horizontalCentered="1"/>
  <pageMargins left="0.15748031496062992" right="0.15748031496062992" top="0.35433070866141736" bottom="0.29604166666666665" header="0.15748031496062992" footer="0.15748031496062992"/>
  <pageSetup fitToHeight="100" fitToWidth="1" horizontalDpi="600" verticalDpi="600" orientation="landscape" paperSize="9" scale="54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9"/>
  <sheetViews>
    <sheetView tabSelected="1" view="pageBreakPreview" zoomScale="80" zoomScaleNormal="70" zoomScaleSheetLayoutView="80" zoomScalePageLayoutView="0" workbookViewId="0" topLeftCell="A202">
      <selection activeCell="D218" sqref="D218:X218"/>
    </sheetView>
  </sheetViews>
  <sheetFormatPr defaultColWidth="9.140625" defaultRowHeight="15" zeroHeight="1"/>
  <cols>
    <col min="1" max="1" width="7.140625" style="19" customWidth="1"/>
    <col min="2" max="2" width="42.57421875" style="51" customWidth="1"/>
    <col min="3" max="3" width="21.28125" style="5" customWidth="1"/>
    <col min="4" max="4" width="17.7109375" style="5" customWidth="1"/>
    <col min="5" max="5" width="13.8515625" style="5" customWidth="1"/>
    <col min="6" max="6" width="15.140625" style="5" customWidth="1"/>
    <col min="7" max="7" width="14.28125" style="5" customWidth="1"/>
    <col min="8" max="8" width="12.28125" style="5" customWidth="1"/>
    <col min="9" max="9" width="14.28125" style="5" customWidth="1"/>
    <col min="10" max="10" width="6.57421875" style="5" customWidth="1"/>
    <col min="11" max="11" width="14.140625" style="5" customWidth="1"/>
    <col min="12" max="12" width="14.8515625" style="5" customWidth="1"/>
    <col min="13" max="13" width="15.7109375" style="5" customWidth="1"/>
    <col min="14" max="14" width="12.00390625" style="5" customWidth="1"/>
    <col min="15" max="15" width="12.140625" style="5" customWidth="1"/>
    <col min="16" max="16" width="9.7109375" style="5" customWidth="1"/>
    <col min="17" max="17" width="16.8515625" style="5" customWidth="1"/>
    <col min="18" max="19" width="12.8515625" style="5" customWidth="1"/>
    <col min="20" max="20" width="11.7109375" style="5" customWidth="1"/>
    <col min="21" max="21" width="13.421875" style="5" customWidth="1"/>
    <col min="22" max="22" width="8.140625" style="5" customWidth="1"/>
    <col min="23" max="23" width="21.421875" style="5" customWidth="1"/>
    <col min="24" max="24" width="18.140625" style="5" hidden="1" customWidth="1"/>
    <col min="25" max="25" width="15.7109375" style="5" hidden="1" customWidth="1"/>
    <col min="26" max="26" width="21.00390625" style="5" hidden="1" customWidth="1"/>
    <col min="27" max="27" width="15.28125" style="4" hidden="1" customWidth="1"/>
    <col min="28" max="28" width="15.28125" style="51" hidden="1" customWidth="1"/>
    <col min="29" max="29" width="15.421875" style="51" hidden="1" customWidth="1"/>
    <col min="30" max="30" width="18.7109375" style="51" hidden="1" customWidth="1"/>
    <col min="31" max="31" width="0" style="51" hidden="1" customWidth="1"/>
    <col min="32" max="16384" width="9.140625" style="51" customWidth="1"/>
  </cols>
  <sheetData>
    <row r="1" spans="1:26" ht="12.75">
      <c r="A1" s="315" t="s">
        <v>320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237"/>
      <c r="Z1" s="237"/>
    </row>
    <row r="2" ht="12.75"/>
    <row r="3" spans="1:26" ht="12.75" customHeight="1">
      <c r="A3" s="316" t="s">
        <v>36</v>
      </c>
      <c r="B3" s="319" t="s">
        <v>0</v>
      </c>
      <c r="C3" s="306" t="s">
        <v>37</v>
      </c>
      <c r="D3" s="322" t="s">
        <v>38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4"/>
      <c r="Y3" s="20"/>
      <c r="Z3" s="20"/>
    </row>
    <row r="4" spans="1:26" ht="12.75" customHeight="1">
      <c r="A4" s="317"/>
      <c r="B4" s="320"/>
      <c r="C4" s="307"/>
      <c r="D4" s="325" t="s">
        <v>39</v>
      </c>
      <c r="E4" s="326"/>
      <c r="F4" s="326"/>
      <c r="G4" s="326"/>
      <c r="H4" s="326"/>
      <c r="I4" s="327"/>
      <c r="J4" s="309" t="s">
        <v>40</v>
      </c>
      <c r="K4" s="310"/>
      <c r="L4" s="309" t="s">
        <v>41</v>
      </c>
      <c r="M4" s="310"/>
      <c r="N4" s="309" t="s">
        <v>42</v>
      </c>
      <c r="O4" s="310"/>
      <c r="P4" s="309" t="s">
        <v>43</v>
      </c>
      <c r="Q4" s="310"/>
      <c r="R4" s="309" t="s">
        <v>44</v>
      </c>
      <c r="S4" s="310"/>
      <c r="T4" s="309" t="s">
        <v>45</v>
      </c>
      <c r="U4" s="310"/>
      <c r="V4" s="306" t="s">
        <v>46</v>
      </c>
      <c r="W4" s="306" t="s">
        <v>47</v>
      </c>
      <c r="X4" s="306" t="s">
        <v>48</v>
      </c>
      <c r="Y4" s="319" t="s">
        <v>262</v>
      </c>
      <c r="Z4" s="319" t="s">
        <v>38</v>
      </c>
    </row>
    <row r="5" spans="1:26" ht="12.75" customHeight="1">
      <c r="A5" s="317"/>
      <c r="B5" s="320"/>
      <c r="C5" s="307"/>
      <c r="D5" s="306" t="s">
        <v>49</v>
      </c>
      <c r="E5" s="325" t="s">
        <v>50</v>
      </c>
      <c r="F5" s="326"/>
      <c r="G5" s="326"/>
      <c r="H5" s="326"/>
      <c r="I5" s="327"/>
      <c r="J5" s="311"/>
      <c r="K5" s="312"/>
      <c r="L5" s="311"/>
      <c r="M5" s="312"/>
      <c r="N5" s="311"/>
      <c r="O5" s="312"/>
      <c r="P5" s="311"/>
      <c r="Q5" s="312"/>
      <c r="R5" s="311"/>
      <c r="S5" s="312"/>
      <c r="T5" s="311"/>
      <c r="U5" s="312"/>
      <c r="V5" s="307"/>
      <c r="W5" s="307"/>
      <c r="X5" s="307"/>
      <c r="Y5" s="320"/>
      <c r="Z5" s="320"/>
    </row>
    <row r="6" spans="1:26" ht="60" customHeight="1">
      <c r="A6" s="317"/>
      <c r="B6" s="320"/>
      <c r="C6" s="308"/>
      <c r="D6" s="308"/>
      <c r="E6" s="102" t="s">
        <v>51</v>
      </c>
      <c r="F6" s="102" t="s">
        <v>52</v>
      </c>
      <c r="G6" s="102" t="s">
        <v>53</v>
      </c>
      <c r="H6" s="102" t="s">
        <v>54</v>
      </c>
      <c r="I6" s="102" t="s">
        <v>55</v>
      </c>
      <c r="J6" s="313"/>
      <c r="K6" s="314"/>
      <c r="L6" s="313"/>
      <c r="M6" s="314"/>
      <c r="N6" s="313"/>
      <c r="O6" s="314"/>
      <c r="P6" s="313"/>
      <c r="Q6" s="314"/>
      <c r="R6" s="313"/>
      <c r="S6" s="314"/>
      <c r="T6" s="313"/>
      <c r="U6" s="314"/>
      <c r="V6" s="308"/>
      <c r="W6" s="308"/>
      <c r="X6" s="308"/>
      <c r="Y6" s="321"/>
      <c r="Z6" s="321"/>
    </row>
    <row r="7" spans="1:27" s="1" customFormat="1" ht="12.75">
      <c r="A7" s="318"/>
      <c r="B7" s="321"/>
      <c r="C7" s="102" t="s">
        <v>23</v>
      </c>
      <c r="D7" s="102" t="s">
        <v>23</v>
      </c>
      <c r="E7" s="102" t="s">
        <v>23</v>
      </c>
      <c r="F7" s="102" t="s">
        <v>23</v>
      </c>
      <c r="G7" s="102" t="s">
        <v>23</v>
      </c>
      <c r="H7" s="102" t="s">
        <v>23</v>
      </c>
      <c r="I7" s="102" t="s">
        <v>23</v>
      </c>
      <c r="J7" s="102" t="s">
        <v>56</v>
      </c>
      <c r="K7" s="102" t="s">
        <v>23</v>
      </c>
      <c r="L7" s="102" t="s">
        <v>57</v>
      </c>
      <c r="M7" s="102" t="s">
        <v>23</v>
      </c>
      <c r="N7" s="102" t="s">
        <v>57</v>
      </c>
      <c r="O7" s="102" t="s">
        <v>23</v>
      </c>
      <c r="P7" s="102" t="s">
        <v>57</v>
      </c>
      <c r="Q7" s="102" t="s">
        <v>23</v>
      </c>
      <c r="R7" s="102" t="s">
        <v>58</v>
      </c>
      <c r="S7" s="102" t="s">
        <v>23</v>
      </c>
      <c r="T7" s="102" t="s">
        <v>57</v>
      </c>
      <c r="U7" s="102" t="s">
        <v>23</v>
      </c>
      <c r="V7" s="102" t="s">
        <v>23</v>
      </c>
      <c r="W7" s="102" t="s">
        <v>23</v>
      </c>
      <c r="X7" s="102" t="s">
        <v>23</v>
      </c>
      <c r="Y7" s="239" t="s">
        <v>23</v>
      </c>
      <c r="Z7" s="14"/>
      <c r="AA7" s="6"/>
    </row>
    <row r="8" spans="1:27" s="1" customFormat="1" ht="12.75">
      <c r="A8" s="54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  <c r="Q8" s="7">
        <v>17</v>
      </c>
      <c r="R8" s="7">
        <v>18</v>
      </c>
      <c r="S8" s="7">
        <v>19</v>
      </c>
      <c r="T8" s="7">
        <v>20</v>
      </c>
      <c r="U8" s="7">
        <v>21</v>
      </c>
      <c r="V8" s="7">
        <v>22</v>
      </c>
      <c r="W8" s="8">
        <v>23</v>
      </c>
      <c r="X8" s="8">
        <v>24</v>
      </c>
      <c r="Y8" s="8"/>
      <c r="Z8" s="8"/>
      <c r="AA8" s="6"/>
    </row>
    <row r="9" spans="1:27" s="1" customFormat="1" ht="12.75">
      <c r="A9" s="54"/>
      <c r="B9" s="7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102"/>
      <c r="X9" s="102"/>
      <c r="Y9" s="8"/>
      <c r="Z9" s="8"/>
      <c r="AA9" s="6"/>
    </row>
    <row r="10" spans="1:27" ht="12.75" customHeight="1">
      <c r="A10" s="328" t="s">
        <v>59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243"/>
      <c r="Z10" s="243"/>
      <c r="AA10" s="9"/>
    </row>
    <row r="11" spans="1:29" ht="12.75" customHeight="1">
      <c r="A11" s="259" t="s">
        <v>61</v>
      </c>
      <c r="B11" s="259"/>
      <c r="C11" s="259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234"/>
      <c r="Z11" s="234"/>
      <c r="AA11" s="53"/>
      <c r="AB11" s="52"/>
      <c r="AC11" s="52"/>
    </row>
    <row r="12" spans="1:30" ht="12.75">
      <c r="A12" s="54">
        <f>1</f>
        <v>1</v>
      </c>
      <c r="B12" s="22" t="s">
        <v>123</v>
      </c>
      <c r="C12" s="224">
        <f>D12+K12+M12+O12+Q12+S12+U12+V12+W12+X12</f>
        <v>161189.99</v>
      </c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>
        <f>Y12</f>
        <v>161189.99</v>
      </c>
      <c r="X12" s="102"/>
      <c r="Y12" s="102">
        <v>161189.99</v>
      </c>
      <c r="Z12" s="102" t="s">
        <v>263</v>
      </c>
      <c r="AA12" s="9"/>
      <c r="AB12" s="52"/>
      <c r="AC12" s="52" t="s">
        <v>174</v>
      </c>
      <c r="AD12" s="52"/>
    </row>
    <row r="13" spans="1:30" ht="12.75">
      <c r="A13" s="54">
        <f>A12+1</f>
        <v>2</v>
      </c>
      <c r="B13" s="22" t="s">
        <v>124</v>
      </c>
      <c r="C13" s="224">
        <f>D13+K13+M13+O13+Q13+S13+U13+V13+W13+X13</f>
        <v>199288.48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>
        <f>Y13</f>
        <v>199288.48</v>
      </c>
      <c r="X13" s="102"/>
      <c r="Y13" s="102">
        <v>199288.48</v>
      </c>
      <c r="Z13" s="102" t="s">
        <v>263</v>
      </c>
      <c r="AA13" s="9"/>
      <c r="AB13" s="52"/>
      <c r="AC13" s="52" t="s">
        <v>174</v>
      </c>
      <c r="AD13" s="52"/>
    </row>
    <row r="14" spans="1:30" ht="12.75" customHeight="1">
      <c r="A14" s="274" t="s">
        <v>60</v>
      </c>
      <c r="B14" s="274"/>
      <c r="C14" s="224">
        <f>SUM(C12:C13)</f>
        <v>360478.47</v>
      </c>
      <c r="D14" s="224">
        <f aca="true" t="shared" si="0" ref="D14:V14">SUM(D12:D13)</f>
        <v>0</v>
      </c>
      <c r="E14" s="224">
        <f t="shared" si="0"/>
        <v>0</v>
      </c>
      <c r="F14" s="224">
        <f t="shared" si="0"/>
        <v>0</v>
      </c>
      <c r="G14" s="224">
        <f t="shared" si="0"/>
        <v>0</v>
      </c>
      <c r="H14" s="224">
        <f t="shared" si="0"/>
        <v>0</v>
      </c>
      <c r="I14" s="224">
        <f t="shared" si="0"/>
        <v>0</v>
      </c>
      <c r="J14" s="224">
        <f t="shared" si="0"/>
        <v>0</v>
      </c>
      <c r="K14" s="224">
        <f t="shared" si="0"/>
        <v>0</v>
      </c>
      <c r="L14" s="224">
        <f t="shared" si="0"/>
        <v>0</v>
      </c>
      <c r="M14" s="224">
        <f t="shared" si="0"/>
        <v>0</v>
      </c>
      <c r="N14" s="224">
        <f t="shared" si="0"/>
        <v>0</v>
      </c>
      <c r="O14" s="224">
        <f t="shared" si="0"/>
        <v>0</v>
      </c>
      <c r="P14" s="224">
        <f t="shared" si="0"/>
        <v>0</v>
      </c>
      <c r="Q14" s="224">
        <f t="shared" si="0"/>
        <v>0</v>
      </c>
      <c r="R14" s="224">
        <f t="shared" si="0"/>
        <v>0</v>
      </c>
      <c r="S14" s="224">
        <f t="shared" si="0"/>
        <v>0</v>
      </c>
      <c r="T14" s="224">
        <f t="shared" si="0"/>
        <v>0</v>
      </c>
      <c r="U14" s="224">
        <f t="shared" si="0"/>
        <v>0</v>
      </c>
      <c r="V14" s="224">
        <f t="shared" si="0"/>
        <v>0</v>
      </c>
      <c r="W14" s="224">
        <f>SUM(W12:W13)</f>
        <v>360478.47</v>
      </c>
      <c r="X14" s="224">
        <f>C14-W14</f>
        <v>0</v>
      </c>
      <c r="Y14" s="224"/>
      <c r="Z14" s="224"/>
      <c r="AA14" s="53">
        <f>E14+F14+G14+H14+I14+K14+M14+O14+Q14+S14+U14+W14+V14+X14</f>
        <v>360478.47</v>
      </c>
      <c r="AB14" s="52">
        <f>AA14-C14</f>
        <v>0</v>
      </c>
      <c r="AC14" s="52"/>
      <c r="AD14" s="52"/>
    </row>
    <row r="15" spans="1:30" ht="17.25" customHeight="1">
      <c r="A15" s="90" t="s">
        <v>62</v>
      </c>
      <c r="B15" s="91"/>
      <c r="C15" s="105"/>
      <c r="D15" s="193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92"/>
      <c r="Y15" s="102"/>
      <c r="Z15" s="102"/>
      <c r="AA15" s="53"/>
      <c r="AB15" s="52"/>
      <c r="AC15" s="52"/>
      <c r="AD15" s="52"/>
    </row>
    <row r="16" spans="1:30" ht="12.75" customHeight="1">
      <c r="A16" s="72">
        <f>A13+1</f>
        <v>3</v>
      </c>
      <c r="B16" s="206" t="s">
        <v>110</v>
      </c>
      <c r="C16" s="224">
        <f>D16+K16+M16+O16+Q16+S16+U16+V16+W16+X16</f>
        <v>1231533.03</v>
      </c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42">
        <f>Y16</f>
        <v>1231533.03</v>
      </c>
      <c r="X16" s="102"/>
      <c r="Y16" s="102">
        <f>850537.13+380995.9</f>
        <v>1231533.03</v>
      </c>
      <c r="Z16" s="102" t="s">
        <v>268</v>
      </c>
      <c r="AA16" s="53" t="s">
        <v>178</v>
      </c>
      <c r="AB16" s="52"/>
      <c r="AC16" s="52"/>
      <c r="AD16" s="52"/>
    </row>
    <row r="17" spans="1:30" ht="12.75" customHeight="1">
      <c r="A17" s="274" t="s">
        <v>60</v>
      </c>
      <c r="B17" s="274"/>
      <c r="C17" s="224">
        <f aca="true" t="shared" si="1" ref="C17:X17">SUM(C16:C16)</f>
        <v>1231533.03</v>
      </c>
      <c r="D17" s="224"/>
      <c r="E17" s="224">
        <f t="shared" si="1"/>
        <v>0</v>
      </c>
      <c r="F17" s="224">
        <f t="shared" si="1"/>
        <v>0</v>
      </c>
      <c r="G17" s="224">
        <f t="shared" si="1"/>
        <v>0</v>
      </c>
      <c r="H17" s="224">
        <f t="shared" si="1"/>
        <v>0</v>
      </c>
      <c r="I17" s="224">
        <f t="shared" si="1"/>
        <v>0</v>
      </c>
      <c r="J17" s="224">
        <f t="shared" si="1"/>
        <v>0</v>
      </c>
      <c r="K17" s="224">
        <f t="shared" si="1"/>
        <v>0</v>
      </c>
      <c r="L17" s="224">
        <f t="shared" si="1"/>
        <v>0</v>
      </c>
      <c r="M17" s="224">
        <f t="shared" si="1"/>
        <v>0</v>
      </c>
      <c r="N17" s="224">
        <f t="shared" si="1"/>
        <v>0</v>
      </c>
      <c r="O17" s="224">
        <f t="shared" si="1"/>
        <v>0</v>
      </c>
      <c r="P17" s="224">
        <f t="shared" si="1"/>
        <v>0</v>
      </c>
      <c r="Q17" s="224">
        <f t="shared" si="1"/>
        <v>0</v>
      </c>
      <c r="R17" s="224">
        <f t="shared" si="1"/>
        <v>0</v>
      </c>
      <c r="S17" s="224">
        <f t="shared" si="1"/>
        <v>0</v>
      </c>
      <c r="T17" s="224">
        <f t="shared" si="1"/>
        <v>0</v>
      </c>
      <c r="U17" s="224">
        <f t="shared" si="1"/>
        <v>0</v>
      </c>
      <c r="V17" s="224">
        <f t="shared" si="1"/>
        <v>0</v>
      </c>
      <c r="W17" s="224">
        <f t="shared" si="1"/>
        <v>1231533.03</v>
      </c>
      <c r="X17" s="224">
        <f t="shared" si="1"/>
        <v>0</v>
      </c>
      <c r="Y17" s="224"/>
      <c r="Z17" s="224"/>
      <c r="AA17" s="53">
        <f>E17+F17+G17+H17+I17+K17+M17+O17+Q17+S17+U17+W17+V17+X17</f>
        <v>1231533.03</v>
      </c>
      <c r="AB17" s="52">
        <f>AA17-C17</f>
        <v>0</v>
      </c>
      <c r="AC17" s="52"/>
      <c r="AD17" s="52"/>
    </row>
    <row r="18" spans="1:30" ht="12.75" customHeight="1">
      <c r="A18" s="259" t="s">
        <v>63</v>
      </c>
      <c r="B18" s="259"/>
      <c r="C18" s="243">
        <f>C14+C17</f>
        <v>1592011.5</v>
      </c>
      <c r="D18" s="243">
        <f aca="true" t="shared" si="2" ref="D18:V18">D14+D17</f>
        <v>0</v>
      </c>
      <c r="E18" s="243">
        <f t="shared" si="2"/>
        <v>0</v>
      </c>
      <c r="F18" s="243">
        <f t="shared" si="2"/>
        <v>0</v>
      </c>
      <c r="G18" s="243">
        <f t="shared" si="2"/>
        <v>0</v>
      </c>
      <c r="H18" s="243">
        <f t="shared" si="2"/>
        <v>0</v>
      </c>
      <c r="I18" s="243">
        <f t="shared" si="2"/>
        <v>0</v>
      </c>
      <c r="J18" s="243">
        <f t="shared" si="2"/>
        <v>0</v>
      </c>
      <c r="K18" s="243">
        <f t="shared" si="2"/>
        <v>0</v>
      </c>
      <c r="L18" s="243">
        <f t="shared" si="2"/>
        <v>0</v>
      </c>
      <c r="M18" s="243">
        <f t="shared" si="2"/>
        <v>0</v>
      </c>
      <c r="N18" s="243">
        <f t="shared" si="2"/>
        <v>0</v>
      </c>
      <c r="O18" s="243">
        <f t="shared" si="2"/>
        <v>0</v>
      </c>
      <c r="P18" s="243">
        <f t="shared" si="2"/>
        <v>0</v>
      </c>
      <c r="Q18" s="243">
        <f t="shared" si="2"/>
        <v>0</v>
      </c>
      <c r="R18" s="243">
        <f t="shared" si="2"/>
        <v>0</v>
      </c>
      <c r="S18" s="243">
        <f t="shared" si="2"/>
        <v>0</v>
      </c>
      <c r="T18" s="243">
        <f t="shared" si="2"/>
        <v>0</v>
      </c>
      <c r="U18" s="243">
        <f t="shared" si="2"/>
        <v>0</v>
      </c>
      <c r="V18" s="243">
        <f t="shared" si="2"/>
        <v>0</v>
      </c>
      <c r="W18" s="243">
        <f>W14+W17</f>
        <v>1592011.5</v>
      </c>
      <c r="X18" s="224">
        <f>C18-W18</f>
        <v>0</v>
      </c>
      <c r="Y18" s="243"/>
      <c r="Z18" s="243"/>
      <c r="AA18" s="53"/>
      <c r="AB18" s="52"/>
      <c r="AC18" s="52"/>
      <c r="AD18" s="52"/>
    </row>
    <row r="19" spans="1:30" ht="12.75">
      <c r="A19" s="329" t="s">
        <v>338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1"/>
      <c r="Y19" s="53"/>
      <c r="Z19" s="52">
        <f>E19+F19+G19+H19+I19+K19+M19+O19+Q19+S19+U19+V19+W19+X19</f>
        <v>0</v>
      </c>
      <c r="AA19" s="52">
        <f>Z19-C19</f>
        <v>0</v>
      </c>
      <c r="AD19" s="52"/>
    </row>
    <row r="20" spans="1:30" ht="12.75">
      <c r="A20" s="264" t="s">
        <v>339</v>
      </c>
      <c r="B20" s="265"/>
      <c r="C20" s="266"/>
      <c r="D20" s="329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1"/>
      <c r="Y20" s="53"/>
      <c r="Z20" s="52">
        <f>E20+F20+G20+H20+I20+K20+M20+O20+Q20+S20+U20+V20+W20+X20</f>
        <v>0</v>
      </c>
      <c r="AA20" s="52">
        <f>Z20-C20</f>
        <v>0</v>
      </c>
      <c r="AD20" s="52"/>
    </row>
    <row r="21" spans="1:30" ht="16.5" customHeight="1">
      <c r="A21" s="7">
        <f>A16+1</f>
        <v>4</v>
      </c>
      <c r="B21" s="22" t="s">
        <v>340</v>
      </c>
      <c r="C21" s="224">
        <f>D21+K21+M21+O21+Q21+S21+U21+V21+W21+X21</f>
        <v>1880962.48</v>
      </c>
      <c r="D21" s="224"/>
      <c r="E21" s="224"/>
      <c r="F21" s="224"/>
      <c r="G21" s="224"/>
      <c r="H21" s="224"/>
      <c r="I21" s="224"/>
      <c r="J21" s="224"/>
      <c r="K21" s="224"/>
      <c r="L21" s="224">
        <v>1315</v>
      </c>
      <c r="M21" s="224">
        <v>1880962.48</v>
      </c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53"/>
      <c r="Z21" s="52">
        <f>E21+F21+G21+H21+I21+K21+M21+O21+Q21+S21+U21+V21+W21+X21</f>
        <v>1880962.48</v>
      </c>
      <c r="AA21" s="52">
        <f>Z21-C21</f>
        <v>0</v>
      </c>
      <c r="AD21" s="52"/>
    </row>
    <row r="22" spans="1:30" ht="12.75">
      <c r="A22" s="304" t="s">
        <v>60</v>
      </c>
      <c r="B22" s="305"/>
      <c r="C22" s="102">
        <f>SUM(C21:C21)</f>
        <v>1880962.48</v>
      </c>
      <c r="D22" s="102"/>
      <c r="E22" s="102"/>
      <c r="F22" s="102"/>
      <c r="G22" s="102"/>
      <c r="H22" s="102"/>
      <c r="I22" s="102"/>
      <c r="J22" s="102"/>
      <c r="K22" s="102"/>
      <c r="L22" s="102">
        <f>SUM(L21:L21)</f>
        <v>1315</v>
      </c>
      <c r="M22" s="102">
        <f>SUM(M21:M21)</f>
        <v>1880962.48</v>
      </c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53"/>
      <c r="Z22" s="52">
        <f>E22+F22+G22+H22+I22+K22+M22+O22+Q22+S22+U22+V22+W22+X22</f>
        <v>1880962.48</v>
      </c>
      <c r="AA22" s="52">
        <f>Z22-C22</f>
        <v>0</v>
      </c>
      <c r="AB22" s="52"/>
      <c r="AD22" s="52"/>
    </row>
    <row r="23" spans="1:30" ht="12.75">
      <c r="A23" s="259" t="s">
        <v>341</v>
      </c>
      <c r="B23" s="259"/>
      <c r="C23" s="243">
        <f>C22</f>
        <v>1880962.48</v>
      </c>
      <c r="D23" s="243">
        <f aca="true" t="shared" si="3" ref="D23:W23">D22</f>
        <v>0</v>
      </c>
      <c r="E23" s="243">
        <f t="shared" si="3"/>
        <v>0</v>
      </c>
      <c r="F23" s="243">
        <f t="shared" si="3"/>
        <v>0</v>
      </c>
      <c r="G23" s="243">
        <f t="shared" si="3"/>
        <v>0</v>
      </c>
      <c r="H23" s="243">
        <f t="shared" si="3"/>
        <v>0</v>
      </c>
      <c r="I23" s="243">
        <f t="shared" si="3"/>
        <v>0</v>
      </c>
      <c r="J23" s="243">
        <f t="shared" si="3"/>
        <v>0</v>
      </c>
      <c r="K23" s="243">
        <f t="shared" si="3"/>
        <v>0</v>
      </c>
      <c r="L23" s="243">
        <f t="shared" si="3"/>
        <v>1315</v>
      </c>
      <c r="M23" s="243">
        <f t="shared" si="3"/>
        <v>1880962.48</v>
      </c>
      <c r="N23" s="243">
        <f t="shared" si="3"/>
        <v>0</v>
      </c>
      <c r="O23" s="243">
        <f t="shared" si="3"/>
        <v>0</v>
      </c>
      <c r="P23" s="243">
        <f t="shared" si="3"/>
        <v>0</v>
      </c>
      <c r="Q23" s="243">
        <f t="shared" si="3"/>
        <v>0</v>
      </c>
      <c r="R23" s="243">
        <f t="shared" si="3"/>
        <v>0</v>
      </c>
      <c r="S23" s="243">
        <f t="shared" si="3"/>
        <v>0</v>
      </c>
      <c r="T23" s="243">
        <f t="shared" si="3"/>
        <v>0</v>
      </c>
      <c r="U23" s="243">
        <f t="shared" si="3"/>
        <v>0</v>
      </c>
      <c r="V23" s="243">
        <f t="shared" si="3"/>
        <v>0</v>
      </c>
      <c r="W23" s="243">
        <f t="shared" si="3"/>
        <v>0</v>
      </c>
      <c r="X23" s="224">
        <f>C23-W23</f>
        <v>1880962.48</v>
      </c>
      <c r="Y23" s="243"/>
      <c r="Z23" s="243"/>
      <c r="AA23" s="53"/>
      <c r="AB23" s="52"/>
      <c r="AC23" s="52"/>
      <c r="AD23" s="52"/>
    </row>
    <row r="24" spans="1:30" ht="12.75" customHeight="1">
      <c r="A24" s="328" t="s">
        <v>64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243"/>
      <c r="Z24" s="243"/>
      <c r="AA24" s="53"/>
      <c r="AB24" s="52"/>
      <c r="AD24" s="52"/>
    </row>
    <row r="25" spans="1:30" ht="12.75" customHeight="1">
      <c r="A25" s="259" t="s">
        <v>245</v>
      </c>
      <c r="B25" s="259"/>
      <c r="C25" s="259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234"/>
      <c r="Z25" s="234"/>
      <c r="AA25" s="53"/>
      <c r="AB25" s="52"/>
      <c r="AC25" s="52"/>
      <c r="AD25" s="52"/>
    </row>
    <row r="26" spans="1:30" ht="12.75">
      <c r="A26" s="54">
        <f>A21+1</f>
        <v>5</v>
      </c>
      <c r="B26" s="22" t="s">
        <v>104</v>
      </c>
      <c r="C26" s="224">
        <f>D26+K26+M26+O26+Q26+S26+U26+V26+W26+X26</f>
        <v>170241.39</v>
      </c>
      <c r="D26" s="234"/>
      <c r="E26" s="224"/>
      <c r="F26" s="224"/>
      <c r="G26" s="224"/>
      <c r="H26" s="224"/>
      <c r="I26" s="224"/>
      <c r="J26" s="224"/>
      <c r="K26" s="224"/>
      <c r="L26" s="195"/>
      <c r="M26" s="102"/>
      <c r="N26" s="195"/>
      <c r="O26" s="195"/>
      <c r="P26" s="195"/>
      <c r="Q26" s="224"/>
      <c r="R26" s="224"/>
      <c r="S26" s="224"/>
      <c r="T26" s="224"/>
      <c r="U26" s="224"/>
      <c r="V26" s="224"/>
      <c r="W26" s="224">
        <v>170241.39</v>
      </c>
      <c r="X26" s="224"/>
      <c r="Y26" s="224">
        <v>177334.78</v>
      </c>
      <c r="Z26" s="224" t="s">
        <v>269</v>
      </c>
      <c r="AA26" s="53"/>
      <c r="AB26" s="52"/>
      <c r="AC26" s="52" t="s">
        <v>174</v>
      </c>
      <c r="AD26" s="52"/>
    </row>
    <row r="27" spans="1:30" ht="12.75">
      <c r="A27" s="54">
        <f>A26+1</f>
        <v>6</v>
      </c>
      <c r="B27" s="22" t="s">
        <v>105</v>
      </c>
      <c r="C27" s="224">
        <f>D27+K27+M27+O27+Q27+S27+U27+V27+W27+X27</f>
        <v>168987.62</v>
      </c>
      <c r="D27" s="234"/>
      <c r="E27" s="224"/>
      <c r="F27" s="224"/>
      <c r="G27" s="224"/>
      <c r="H27" s="224"/>
      <c r="I27" s="224"/>
      <c r="J27" s="224"/>
      <c r="K27" s="224"/>
      <c r="L27" s="195"/>
      <c r="M27" s="102"/>
      <c r="N27" s="195"/>
      <c r="O27" s="195"/>
      <c r="P27" s="195"/>
      <c r="Q27" s="224"/>
      <c r="R27" s="224"/>
      <c r="S27" s="224"/>
      <c r="T27" s="224"/>
      <c r="U27" s="224"/>
      <c r="V27" s="224"/>
      <c r="W27" s="224">
        <v>168987.62</v>
      </c>
      <c r="X27" s="224"/>
      <c r="Y27" s="224">
        <v>176028.77</v>
      </c>
      <c r="Z27" s="224" t="s">
        <v>269</v>
      </c>
      <c r="AA27" s="53"/>
      <c r="AB27" s="52"/>
      <c r="AC27" s="52" t="s">
        <v>174</v>
      </c>
      <c r="AD27" s="52"/>
    </row>
    <row r="28" spans="1:30" ht="12.75">
      <c r="A28" s="274" t="s">
        <v>60</v>
      </c>
      <c r="B28" s="274"/>
      <c r="C28" s="224">
        <f>SUM(C26:C27)</f>
        <v>339229.01</v>
      </c>
      <c r="D28" s="224">
        <v>0</v>
      </c>
      <c r="E28" s="224">
        <f aca="true" t="shared" si="4" ref="E28:X28">SUM(E26:E27)</f>
        <v>0</v>
      </c>
      <c r="F28" s="224">
        <f t="shared" si="4"/>
        <v>0</v>
      </c>
      <c r="G28" s="224">
        <f t="shared" si="4"/>
        <v>0</v>
      </c>
      <c r="H28" s="224">
        <f t="shared" si="4"/>
        <v>0</v>
      </c>
      <c r="I28" s="224">
        <f t="shared" si="4"/>
        <v>0</v>
      </c>
      <c r="J28" s="224">
        <f t="shared" si="4"/>
        <v>0</v>
      </c>
      <c r="K28" s="224">
        <f t="shared" si="4"/>
        <v>0</v>
      </c>
      <c r="L28" s="224">
        <f t="shared" si="4"/>
        <v>0</v>
      </c>
      <c r="M28" s="224">
        <f t="shared" si="4"/>
        <v>0</v>
      </c>
      <c r="N28" s="224">
        <f t="shared" si="4"/>
        <v>0</v>
      </c>
      <c r="O28" s="224">
        <f t="shared" si="4"/>
        <v>0</v>
      </c>
      <c r="P28" s="224">
        <f t="shared" si="4"/>
        <v>0</v>
      </c>
      <c r="Q28" s="224">
        <f t="shared" si="4"/>
        <v>0</v>
      </c>
      <c r="R28" s="224">
        <f t="shared" si="4"/>
        <v>0</v>
      </c>
      <c r="S28" s="224">
        <f t="shared" si="4"/>
        <v>0</v>
      </c>
      <c r="T28" s="224">
        <f t="shared" si="4"/>
        <v>0</v>
      </c>
      <c r="U28" s="224">
        <f t="shared" si="4"/>
        <v>0</v>
      </c>
      <c r="V28" s="224">
        <f t="shared" si="4"/>
        <v>0</v>
      </c>
      <c r="W28" s="224">
        <f t="shared" si="4"/>
        <v>339229.01</v>
      </c>
      <c r="X28" s="224">
        <f t="shared" si="4"/>
        <v>0</v>
      </c>
      <c r="Y28" s="224"/>
      <c r="Z28" s="224"/>
      <c r="AA28" s="53">
        <f>E28+F28+G28+H28+I28+K28+M28+O28+Q28+S28+U28+W28+V28+X28</f>
        <v>339229.01</v>
      </c>
      <c r="AB28" s="52">
        <f>AA28-C28</f>
        <v>0</v>
      </c>
      <c r="AC28" s="52"/>
      <c r="AD28" s="52"/>
    </row>
    <row r="29" spans="1:30" ht="12.75">
      <c r="A29" s="259" t="s">
        <v>65</v>
      </c>
      <c r="B29" s="259"/>
      <c r="C29" s="243">
        <f>C28</f>
        <v>339229.01</v>
      </c>
      <c r="D29" s="243">
        <f aca="true" t="shared" si="5" ref="D29:W29">D28</f>
        <v>0</v>
      </c>
      <c r="E29" s="243">
        <f t="shared" si="5"/>
        <v>0</v>
      </c>
      <c r="F29" s="243">
        <f t="shared" si="5"/>
        <v>0</v>
      </c>
      <c r="G29" s="243">
        <f t="shared" si="5"/>
        <v>0</v>
      </c>
      <c r="H29" s="243">
        <f t="shared" si="5"/>
        <v>0</v>
      </c>
      <c r="I29" s="243">
        <f t="shared" si="5"/>
        <v>0</v>
      </c>
      <c r="J29" s="243">
        <f t="shared" si="5"/>
        <v>0</v>
      </c>
      <c r="K29" s="243">
        <f t="shared" si="5"/>
        <v>0</v>
      </c>
      <c r="L29" s="243">
        <f t="shared" si="5"/>
        <v>0</v>
      </c>
      <c r="M29" s="243">
        <f t="shared" si="5"/>
        <v>0</v>
      </c>
      <c r="N29" s="243">
        <f t="shared" si="5"/>
        <v>0</v>
      </c>
      <c r="O29" s="243">
        <f t="shared" si="5"/>
        <v>0</v>
      </c>
      <c r="P29" s="243">
        <f t="shared" si="5"/>
        <v>0</v>
      </c>
      <c r="Q29" s="243">
        <f t="shared" si="5"/>
        <v>0</v>
      </c>
      <c r="R29" s="243">
        <f t="shared" si="5"/>
        <v>0</v>
      </c>
      <c r="S29" s="243">
        <f t="shared" si="5"/>
        <v>0</v>
      </c>
      <c r="T29" s="243">
        <f t="shared" si="5"/>
        <v>0</v>
      </c>
      <c r="U29" s="243">
        <f t="shared" si="5"/>
        <v>0</v>
      </c>
      <c r="V29" s="243">
        <f t="shared" si="5"/>
        <v>0</v>
      </c>
      <c r="W29" s="243">
        <f t="shared" si="5"/>
        <v>339229.01</v>
      </c>
      <c r="X29" s="224">
        <f>C29-W29</f>
        <v>0</v>
      </c>
      <c r="Y29" s="243"/>
      <c r="Z29" s="243"/>
      <c r="AA29" s="53"/>
      <c r="AB29" s="52"/>
      <c r="AC29" s="52"/>
      <c r="AD29" s="52"/>
    </row>
    <row r="30" spans="1:30" ht="12.75">
      <c r="A30" s="328" t="s">
        <v>342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243"/>
      <c r="Z30" s="243"/>
      <c r="AA30" s="53"/>
      <c r="AB30" s="52"/>
      <c r="AC30" s="52"/>
      <c r="AD30" s="52"/>
    </row>
    <row r="31" spans="1:30" ht="12.75" customHeight="1">
      <c r="A31" s="254" t="s">
        <v>336</v>
      </c>
      <c r="B31" s="255"/>
      <c r="C31" s="256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53"/>
      <c r="AB31" s="52"/>
      <c r="AC31" s="9"/>
      <c r="AD31" s="52"/>
    </row>
    <row r="32" spans="1:30" ht="12.75" customHeight="1">
      <c r="A32" s="72">
        <f>A27+1</f>
        <v>7</v>
      </c>
      <c r="B32" s="22" t="s">
        <v>337</v>
      </c>
      <c r="C32" s="224">
        <f>D32+K32+M32+O32+Q32+S32+U32+V32+W32+X32</f>
        <v>27654831.72</v>
      </c>
      <c r="D32" s="224"/>
      <c r="E32" s="102"/>
      <c r="F32" s="102"/>
      <c r="G32" s="102"/>
      <c r="H32" s="102"/>
      <c r="I32" s="102"/>
      <c r="J32" s="102"/>
      <c r="K32" s="102"/>
      <c r="L32" s="102"/>
      <c r="M32" s="224"/>
      <c r="N32" s="102"/>
      <c r="O32" s="102"/>
      <c r="P32" s="102">
        <v>4617</v>
      </c>
      <c r="Q32" s="102">
        <v>26709433.65</v>
      </c>
      <c r="R32" s="102"/>
      <c r="S32" s="102"/>
      <c r="T32" s="102"/>
      <c r="U32" s="102"/>
      <c r="V32" s="102"/>
      <c r="W32" s="102">
        <v>945398.07</v>
      </c>
      <c r="X32" s="102"/>
      <c r="Y32" s="53"/>
      <c r="Z32" s="52">
        <f>E32+F32+G32+H32+I32+K32+M32+O32+Q32+S32+U32+V32+W32+X32</f>
        <v>27654831.72</v>
      </c>
      <c r="AA32" s="53"/>
      <c r="AB32" s="52"/>
      <c r="AC32" s="9"/>
      <c r="AD32" s="52"/>
    </row>
    <row r="33" spans="1:30" ht="12.75">
      <c r="A33" s="274" t="s">
        <v>60</v>
      </c>
      <c r="B33" s="274"/>
      <c r="C33" s="224">
        <f>SUM(C32)</f>
        <v>27654831.72</v>
      </c>
      <c r="D33" s="224">
        <f aca="true" t="shared" si="6" ref="D33:X33">SUM(D31:D32)</f>
        <v>0</v>
      </c>
      <c r="E33" s="224">
        <f t="shared" si="6"/>
        <v>0</v>
      </c>
      <c r="F33" s="224">
        <f t="shared" si="6"/>
        <v>0</v>
      </c>
      <c r="G33" s="224">
        <f t="shared" si="6"/>
        <v>0</v>
      </c>
      <c r="H33" s="224">
        <f t="shared" si="6"/>
        <v>0</v>
      </c>
      <c r="I33" s="224">
        <f t="shared" si="6"/>
        <v>0</v>
      </c>
      <c r="J33" s="224">
        <f t="shared" si="6"/>
        <v>0</v>
      </c>
      <c r="K33" s="224">
        <f t="shared" si="6"/>
        <v>0</v>
      </c>
      <c r="L33" s="224">
        <f t="shared" si="6"/>
        <v>0</v>
      </c>
      <c r="M33" s="224">
        <f t="shared" si="6"/>
        <v>0</v>
      </c>
      <c r="N33" s="224">
        <f t="shared" si="6"/>
        <v>0</v>
      </c>
      <c r="O33" s="224">
        <f t="shared" si="6"/>
        <v>0</v>
      </c>
      <c r="P33" s="224">
        <f t="shared" si="6"/>
        <v>4617</v>
      </c>
      <c r="Q33" s="224">
        <f t="shared" si="6"/>
        <v>26709433.65</v>
      </c>
      <c r="R33" s="224">
        <f t="shared" si="6"/>
        <v>0</v>
      </c>
      <c r="S33" s="224">
        <f t="shared" si="6"/>
        <v>0</v>
      </c>
      <c r="T33" s="224">
        <f t="shared" si="6"/>
        <v>0</v>
      </c>
      <c r="U33" s="224">
        <f t="shared" si="6"/>
        <v>0</v>
      </c>
      <c r="V33" s="224">
        <f t="shared" si="6"/>
        <v>0</v>
      </c>
      <c r="W33" s="224">
        <f t="shared" si="6"/>
        <v>945398.07</v>
      </c>
      <c r="X33" s="224">
        <f t="shared" si="6"/>
        <v>0</v>
      </c>
      <c r="Y33" s="224"/>
      <c r="Z33" s="224"/>
      <c r="AA33" s="53">
        <f>E33+F33+G33+H33+I33+K33+M33+O33+Q33+S33+U33+W33+V33+X33</f>
        <v>27654831.72</v>
      </c>
      <c r="AB33" s="52">
        <f>AA33-C33</f>
        <v>0</v>
      </c>
      <c r="AC33" s="52"/>
      <c r="AD33" s="52"/>
    </row>
    <row r="34" spans="1:30" ht="12.75" customHeight="1">
      <c r="A34" s="259" t="s">
        <v>186</v>
      </c>
      <c r="B34" s="259"/>
      <c r="C34" s="259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234"/>
      <c r="Z34" s="234"/>
      <c r="AA34" s="53"/>
      <c r="AB34" s="52"/>
      <c r="AC34" s="9"/>
      <c r="AD34" s="52"/>
    </row>
    <row r="35" spans="1:30" ht="12.75" customHeight="1">
      <c r="A35" s="72">
        <f>A32+1</f>
        <v>8</v>
      </c>
      <c r="B35" s="80" t="s">
        <v>184</v>
      </c>
      <c r="C35" s="224">
        <f>D35+K35+M35+O35+Q35+S35+U35+V35+W35+X35</f>
        <v>454392.85</v>
      </c>
      <c r="D35" s="234"/>
      <c r="E35" s="102"/>
      <c r="F35" s="102"/>
      <c r="G35" s="102"/>
      <c r="H35" s="102"/>
      <c r="I35" s="102"/>
      <c r="J35" s="224"/>
      <c r="K35" s="196"/>
      <c r="L35" s="102"/>
      <c r="M35" s="224"/>
      <c r="N35" s="102"/>
      <c r="O35" s="102"/>
      <c r="P35" s="102"/>
      <c r="Q35" s="102"/>
      <c r="R35" s="102"/>
      <c r="S35" s="102"/>
      <c r="T35" s="102"/>
      <c r="U35" s="102"/>
      <c r="V35" s="102"/>
      <c r="W35" s="102">
        <v>454392.85</v>
      </c>
      <c r="X35" s="102"/>
      <c r="Y35" s="102">
        <f>507701.51</f>
        <v>507701.51</v>
      </c>
      <c r="Z35" s="102" t="s">
        <v>270</v>
      </c>
      <c r="AA35" s="53"/>
      <c r="AB35" s="52"/>
      <c r="AC35" s="52"/>
      <c r="AD35" s="52"/>
    </row>
    <row r="36" spans="1:30" ht="12.75" customHeight="1">
      <c r="A36" s="72">
        <f>A35+1</f>
        <v>9</v>
      </c>
      <c r="B36" s="80" t="s">
        <v>185</v>
      </c>
      <c r="C36" s="224">
        <f>D36+K36+M36+O36+Q36+S36+U36+V36+W36+X36</f>
        <v>840983.5</v>
      </c>
      <c r="D36" s="234"/>
      <c r="E36" s="102"/>
      <c r="F36" s="102"/>
      <c r="G36" s="102"/>
      <c r="H36" s="102"/>
      <c r="I36" s="102"/>
      <c r="J36" s="224"/>
      <c r="K36" s="196"/>
      <c r="L36" s="102"/>
      <c r="M36" s="224"/>
      <c r="N36" s="102"/>
      <c r="O36" s="102"/>
      <c r="P36" s="102"/>
      <c r="Q36" s="102"/>
      <c r="R36" s="102"/>
      <c r="S36" s="102"/>
      <c r="T36" s="102"/>
      <c r="U36" s="102"/>
      <c r="V36" s="102"/>
      <c r="W36" s="102">
        <v>840983.5</v>
      </c>
      <c r="X36" s="102"/>
      <c r="Y36" s="102">
        <f>939646.37</f>
        <v>939646.37</v>
      </c>
      <c r="Z36" s="102" t="s">
        <v>270</v>
      </c>
      <c r="AA36" s="53"/>
      <c r="AB36" s="52"/>
      <c r="AC36" s="52"/>
      <c r="AD36" s="52"/>
    </row>
    <row r="37" spans="1:30" ht="12.75" customHeight="1">
      <c r="A37" s="274" t="s">
        <v>60</v>
      </c>
      <c r="B37" s="274"/>
      <c r="C37" s="102">
        <f aca="true" t="shared" si="7" ref="C37:W37">SUM(C35:C36)</f>
        <v>1295376.35</v>
      </c>
      <c r="D37" s="102">
        <f t="shared" si="7"/>
        <v>0</v>
      </c>
      <c r="E37" s="102">
        <f t="shared" si="7"/>
        <v>0</v>
      </c>
      <c r="F37" s="102">
        <f t="shared" si="7"/>
        <v>0</v>
      </c>
      <c r="G37" s="102">
        <f t="shared" si="7"/>
        <v>0</v>
      </c>
      <c r="H37" s="102">
        <f t="shared" si="7"/>
        <v>0</v>
      </c>
      <c r="I37" s="102">
        <f t="shared" si="7"/>
        <v>0</v>
      </c>
      <c r="J37" s="102">
        <f t="shared" si="7"/>
        <v>0</v>
      </c>
      <c r="K37" s="102">
        <f t="shared" si="7"/>
        <v>0</v>
      </c>
      <c r="L37" s="102">
        <f t="shared" si="7"/>
        <v>0</v>
      </c>
      <c r="M37" s="102">
        <f t="shared" si="7"/>
        <v>0</v>
      </c>
      <c r="N37" s="102">
        <f t="shared" si="7"/>
        <v>0</v>
      </c>
      <c r="O37" s="102">
        <f t="shared" si="7"/>
        <v>0</v>
      </c>
      <c r="P37" s="102">
        <f t="shared" si="7"/>
        <v>0</v>
      </c>
      <c r="Q37" s="102">
        <f t="shared" si="7"/>
        <v>0</v>
      </c>
      <c r="R37" s="102">
        <f t="shared" si="7"/>
        <v>0</v>
      </c>
      <c r="S37" s="102">
        <f t="shared" si="7"/>
        <v>0</v>
      </c>
      <c r="T37" s="102">
        <f t="shared" si="7"/>
        <v>0</v>
      </c>
      <c r="U37" s="102">
        <f t="shared" si="7"/>
        <v>0</v>
      </c>
      <c r="V37" s="102">
        <f t="shared" si="7"/>
        <v>0</v>
      </c>
      <c r="W37" s="102">
        <f t="shared" si="7"/>
        <v>1295376.35</v>
      </c>
      <c r="X37" s="224">
        <f>C37-W37</f>
        <v>0</v>
      </c>
      <c r="Y37" s="102"/>
      <c r="Z37" s="102"/>
      <c r="AA37" s="53">
        <f>E37+F37+G37+H37+I37+K37+M37+O37+Q37+S37+U37+W37+V37+X37</f>
        <v>1295376.35</v>
      </c>
      <c r="AB37" s="52">
        <f>AA37-C37</f>
        <v>0</v>
      </c>
      <c r="AC37" s="52"/>
      <c r="AD37" s="52"/>
    </row>
    <row r="38" spans="1:30" ht="12.75" customHeight="1">
      <c r="A38" s="259" t="s">
        <v>66</v>
      </c>
      <c r="B38" s="259"/>
      <c r="C38" s="234">
        <f aca="true" t="shared" si="8" ref="C38:Y38">C37+C33</f>
        <v>28950208.07</v>
      </c>
      <c r="D38" s="234">
        <f t="shared" si="8"/>
        <v>0</v>
      </c>
      <c r="E38" s="234">
        <f t="shared" si="8"/>
        <v>0</v>
      </c>
      <c r="F38" s="234">
        <f t="shared" si="8"/>
        <v>0</v>
      </c>
      <c r="G38" s="234">
        <f t="shared" si="8"/>
        <v>0</v>
      </c>
      <c r="H38" s="234">
        <f t="shared" si="8"/>
        <v>0</v>
      </c>
      <c r="I38" s="234">
        <f t="shared" si="8"/>
        <v>0</v>
      </c>
      <c r="J38" s="234">
        <f t="shared" si="8"/>
        <v>0</v>
      </c>
      <c r="K38" s="234">
        <f t="shared" si="8"/>
        <v>0</v>
      </c>
      <c r="L38" s="234">
        <f t="shared" si="8"/>
        <v>0</v>
      </c>
      <c r="M38" s="234">
        <f t="shared" si="8"/>
        <v>0</v>
      </c>
      <c r="N38" s="234">
        <f t="shared" si="8"/>
        <v>0</v>
      </c>
      <c r="O38" s="234">
        <f t="shared" si="8"/>
        <v>0</v>
      </c>
      <c r="P38" s="234">
        <f t="shared" si="8"/>
        <v>4617</v>
      </c>
      <c r="Q38" s="234">
        <f t="shared" si="8"/>
        <v>26709433.65</v>
      </c>
      <c r="R38" s="234">
        <f t="shared" si="8"/>
        <v>0</v>
      </c>
      <c r="S38" s="234">
        <f t="shared" si="8"/>
        <v>0</v>
      </c>
      <c r="T38" s="234">
        <f t="shared" si="8"/>
        <v>0</v>
      </c>
      <c r="U38" s="234">
        <f t="shared" si="8"/>
        <v>0</v>
      </c>
      <c r="V38" s="234">
        <f t="shared" si="8"/>
        <v>0</v>
      </c>
      <c r="W38" s="234">
        <f t="shared" si="8"/>
        <v>2240774.42</v>
      </c>
      <c r="X38" s="234">
        <f t="shared" si="8"/>
        <v>0</v>
      </c>
      <c r="Y38" s="234">
        <f t="shared" si="8"/>
        <v>0</v>
      </c>
      <c r="Z38" s="234"/>
      <c r="AA38" s="53"/>
      <c r="AB38" s="52"/>
      <c r="AC38" s="52"/>
      <c r="AD38" s="52"/>
    </row>
    <row r="39" spans="1:30" ht="12.75" customHeight="1">
      <c r="A39" s="328" t="s">
        <v>67</v>
      </c>
      <c r="B39" s="328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243"/>
      <c r="Z39" s="243"/>
      <c r="AA39" s="53"/>
      <c r="AB39" s="52"/>
      <c r="AD39" s="52"/>
    </row>
    <row r="40" spans="1:30" ht="12.75" customHeight="1">
      <c r="A40" s="259" t="s">
        <v>246</v>
      </c>
      <c r="B40" s="259"/>
      <c r="C40" s="259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53"/>
      <c r="AB40" s="52"/>
      <c r="AD40" s="52"/>
    </row>
    <row r="41" spans="1:30" ht="12.75" customHeight="1">
      <c r="A41" s="72">
        <f>A36+1</f>
        <v>10</v>
      </c>
      <c r="B41" s="112" t="s">
        <v>188</v>
      </c>
      <c r="C41" s="224">
        <f>D41+K41+M41+O41+Q41+S41+U41+V41+W41+X41</f>
        <v>236137.56</v>
      </c>
      <c r="D41" s="243"/>
      <c r="E41" s="243"/>
      <c r="F41" s="243"/>
      <c r="G41" s="243"/>
      <c r="H41" s="243"/>
      <c r="I41" s="243"/>
      <c r="J41" s="243"/>
      <c r="K41" s="243"/>
      <c r="L41" s="102"/>
      <c r="M41" s="102"/>
      <c r="N41" s="243"/>
      <c r="O41" s="243"/>
      <c r="P41" s="243"/>
      <c r="Q41" s="243"/>
      <c r="R41" s="243"/>
      <c r="S41" s="243"/>
      <c r="T41" s="243"/>
      <c r="U41" s="243"/>
      <c r="V41" s="243"/>
      <c r="W41" s="224">
        <f>Y41</f>
        <v>236137.56</v>
      </c>
      <c r="X41" s="243"/>
      <c r="Y41" s="224">
        <v>236137.56</v>
      </c>
      <c r="Z41" s="224" t="s">
        <v>271</v>
      </c>
      <c r="AA41" s="53"/>
      <c r="AB41" s="52"/>
      <c r="AD41" s="52"/>
    </row>
    <row r="42" spans="1:30" ht="12.75" customHeight="1">
      <c r="A42" s="72">
        <f>A41+1</f>
        <v>11</v>
      </c>
      <c r="B42" s="207" t="s">
        <v>189</v>
      </c>
      <c r="C42" s="224">
        <f>D42+K42+M42+O42+Q42+S42+U42+V42+W42+X42</f>
        <v>197987.52</v>
      </c>
      <c r="D42" s="243"/>
      <c r="E42" s="243"/>
      <c r="F42" s="243"/>
      <c r="G42" s="243"/>
      <c r="H42" s="243"/>
      <c r="I42" s="243"/>
      <c r="J42" s="243"/>
      <c r="K42" s="243"/>
      <c r="L42" s="102"/>
      <c r="M42" s="102"/>
      <c r="N42" s="243"/>
      <c r="O42" s="243"/>
      <c r="P42" s="243"/>
      <c r="Q42" s="243"/>
      <c r="R42" s="243"/>
      <c r="S42" s="243"/>
      <c r="T42" s="243"/>
      <c r="U42" s="243"/>
      <c r="V42" s="243"/>
      <c r="W42" s="224">
        <f>Y42</f>
        <v>197987.52</v>
      </c>
      <c r="X42" s="243"/>
      <c r="Y42" s="224">
        <v>197987.52</v>
      </c>
      <c r="Z42" s="224" t="s">
        <v>271</v>
      </c>
      <c r="AA42" s="53"/>
      <c r="AB42" s="52"/>
      <c r="AD42" s="52"/>
    </row>
    <row r="43" spans="1:30" ht="12.75" customHeight="1">
      <c r="A43" s="274" t="s">
        <v>60</v>
      </c>
      <c r="B43" s="274"/>
      <c r="C43" s="224">
        <f>SUM(C41:C42)</f>
        <v>434125.07999999996</v>
      </c>
      <c r="D43" s="224">
        <f aca="true" t="shared" si="9" ref="D43:W43">SUM(D41:D42)</f>
        <v>0</v>
      </c>
      <c r="E43" s="224">
        <f t="shared" si="9"/>
        <v>0</v>
      </c>
      <c r="F43" s="224">
        <f t="shared" si="9"/>
        <v>0</v>
      </c>
      <c r="G43" s="224">
        <f t="shared" si="9"/>
        <v>0</v>
      </c>
      <c r="H43" s="224">
        <f t="shared" si="9"/>
        <v>0</v>
      </c>
      <c r="I43" s="224">
        <f t="shared" si="9"/>
        <v>0</v>
      </c>
      <c r="J43" s="224">
        <f t="shared" si="9"/>
        <v>0</v>
      </c>
      <c r="K43" s="224">
        <f t="shared" si="9"/>
        <v>0</v>
      </c>
      <c r="L43" s="224">
        <f t="shared" si="9"/>
        <v>0</v>
      </c>
      <c r="M43" s="224">
        <f t="shared" si="9"/>
        <v>0</v>
      </c>
      <c r="N43" s="224">
        <f t="shared" si="9"/>
        <v>0</v>
      </c>
      <c r="O43" s="224">
        <f t="shared" si="9"/>
        <v>0</v>
      </c>
      <c r="P43" s="224">
        <f t="shared" si="9"/>
        <v>0</v>
      </c>
      <c r="Q43" s="224">
        <f t="shared" si="9"/>
        <v>0</v>
      </c>
      <c r="R43" s="224">
        <f t="shared" si="9"/>
        <v>0</v>
      </c>
      <c r="S43" s="224">
        <f t="shared" si="9"/>
        <v>0</v>
      </c>
      <c r="T43" s="224">
        <f t="shared" si="9"/>
        <v>0</v>
      </c>
      <c r="U43" s="224">
        <f t="shared" si="9"/>
        <v>0</v>
      </c>
      <c r="V43" s="224">
        <f t="shared" si="9"/>
        <v>0</v>
      </c>
      <c r="W43" s="224">
        <f t="shared" si="9"/>
        <v>434125.07999999996</v>
      </c>
      <c r="X43" s="224">
        <f>C43-W43</f>
        <v>0</v>
      </c>
      <c r="Y43" s="224"/>
      <c r="Z43" s="224"/>
      <c r="AA43" s="53"/>
      <c r="AB43" s="52"/>
      <c r="AD43" s="52"/>
    </row>
    <row r="44" spans="1:30" ht="12.75" customHeight="1">
      <c r="A44" s="259" t="s">
        <v>68</v>
      </c>
      <c r="B44" s="259"/>
      <c r="C44" s="259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234"/>
      <c r="Z44" s="102"/>
      <c r="AA44" s="53"/>
      <c r="AB44" s="52"/>
      <c r="AD44" s="52"/>
    </row>
    <row r="45" spans="1:30" ht="12.75" customHeight="1">
      <c r="A45" s="72">
        <f>A42+1</f>
        <v>12</v>
      </c>
      <c r="B45" s="22" t="s">
        <v>132</v>
      </c>
      <c r="C45" s="224">
        <f aca="true" t="shared" si="10" ref="C45:C60">D45+K45+M45+O45+Q45+S45+U45+V45+W45+X45</f>
        <v>1102077.51</v>
      </c>
      <c r="D45" s="234"/>
      <c r="E45" s="234"/>
      <c r="F45" s="234"/>
      <c r="G45" s="234"/>
      <c r="H45" s="234"/>
      <c r="I45" s="234"/>
      <c r="J45" s="234"/>
      <c r="K45" s="234"/>
      <c r="L45" s="234"/>
      <c r="M45" s="234"/>
      <c r="N45" s="234"/>
      <c r="O45" s="234"/>
      <c r="P45" s="115"/>
      <c r="Q45" s="102"/>
      <c r="R45" s="234"/>
      <c r="S45" s="234"/>
      <c r="T45" s="234"/>
      <c r="U45" s="234"/>
      <c r="V45" s="234"/>
      <c r="W45" s="102">
        <v>1102077.51</v>
      </c>
      <c r="X45" s="234"/>
      <c r="Y45" s="102">
        <f>1135016.37</f>
        <v>1135016.37</v>
      </c>
      <c r="Z45" s="102" t="s">
        <v>93</v>
      </c>
      <c r="AA45" s="217" t="s">
        <v>247</v>
      </c>
      <c r="AB45" s="52"/>
      <c r="AC45" s="52" t="s">
        <v>174</v>
      </c>
      <c r="AD45" s="52"/>
    </row>
    <row r="46" spans="1:30" ht="12.75" customHeight="1">
      <c r="A46" s="54">
        <f>A45+1</f>
        <v>13</v>
      </c>
      <c r="B46" s="22" t="s">
        <v>160</v>
      </c>
      <c r="C46" s="224">
        <f t="shared" si="10"/>
        <v>185215.75</v>
      </c>
      <c r="D46" s="234"/>
      <c r="E46" s="234"/>
      <c r="F46" s="234"/>
      <c r="G46" s="234"/>
      <c r="H46" s="234"/>
      <c r="I46" s="234"/>
      <c r="J46" s="234"/>
      <c r="K46" s="234"/>
      <c r="L46" s="102"/>
      <c r="M46" s="102"/>
      <c r="N46" s="234"/>
      <c r="O46" s="234"/>
      <c r="P46" s="102"/>
      <c r="Q46" s="102"/>
      <c r="R46" s="234"/>
      <c r="S46" s="234"/>
      <c r="T46" s="234"/>
      <c r="U46" s="234"/>
      <c r="V46" s="234"/>
      <c r="W46" s="102">
        <v>185215.75</v>
      </c>
      <c r="X46" s="234"/>
      <c r="Y46" s="102">
        <v>185215.75</v>
      </c>
      <c r="Z46" s="102" t="s">
        <v>271</v>
      </c>
      <c r="AA46" s="41"/>
      <c r="AB46" s="52"/>
      <c r="AC46" s="52" t="s">
        <v>174</v>
      </c>
      <c r="AD46" s="52"/>
    </row>
    <row r="47" spans="1:30" ht="12.75" customHeight="1">
      <c r="A47" s="54">
        <f aca="true" t="shared" si="11" ref="A47:A60">A46+1</f>
        <v>14</v>
      </c>
      <c r="B47" s="22" t="s">
        <v>161</v>
      </c>
      <c r="C47" s="224">
        <f t="shared" si="10"/>
        <v>366595.64</v>
      </c>
      <c r="D47" s="234"/>
      <c r="E47" s="234"/>
      <c r="F47" s="234"/>
      <c r="G47" s="234"/>
      <c r="H47" s="234"/>
      <c r="I47" s="234"/>
      <c r="J47" s="234"/>
      <c r="K47" s="234"/>
      <c r="L47" s="102"/>
      <c r="M47" s="102"/>
      <c r="N47" s="234"/>
      <c r="O47" s="234"/>
      <c r="P47" s="102"/>
      <c r="Q47" s="102"/>
      <c r="R47" s="234"/>
      <c r="S47" s="234"/>
      <c r="T47" s="234"/>
      <c r="U47" s="234"/>
      <c r="V47" s="234"/>
      <c r="W47" s="102">
        <v>366595.64</v>
      </c>
      <c r="X47" s="234"/>
      <c r="Y47" s="102">
        <v>381870.46</v>
      </c>
      <c r="Z47" s="102" t="s">
        <v>269</v>
      </c>
      <c r="AA47" s="41"/>
      <c r="AB47" s="52"/>
      <c r="AC47" s="52" t="s">
        <v>174</v>
      </c>
      <c r="AD47" s="52"/>
    </row>
    <row r="48" spans="1:30" ht="12.75" customHeight="1">
      <c r="A48" s="54">
        <f t="shared" si="11"/>
        <v>15</v>
      </c>
      <c r="B48" s="22" t="s">
        <v>162</v>
      </c>
      <c r="C48" s="224">
        <f t="shared" si="10"/>
        <v>193326.55</v>
      </c>
      <c r="D48" s="234"/>
      <c r="E48" s="234"/>
      <c r="F48" s="234"/>
      <c r="G48" s="234"/>
      <c r="H48" s="234"/>
      <c r="I48" s="234"/>
      <c r="J48" s="234"/>
      <c r="K48" s="234"/>
      <c r="L48" s="102"/>
      <c r="M48" s="102"/>
      <c r="N48" s="234"/>
      <c r="O48" s="234"/>
      <c r="P48" s="102"/>
      <c r="Q48" s="102"/>
      <c r="R48" s="234"/>
      <c r="S48" s="234"/>
      <c r="T48" s="234"/>
      <c r="U48" s="234"/>
      <c r="V48" s="234"/>
      <c r="W48" s="102">
        <v>193326.55</v>
      </c>
      <c r="X48" s="234"/>
      <c r="Y48" s="102">
        <v>193326.55</v>
      </c>
      <c r="Z48" s="102" t="s">
        <v>271</v>
      </c>
      <c r="AA48" s="41"/>
      <c r="AB48" s="52"/>
      <c r="AC48" s="52" t="s">
        <v>174</v>
      </c>
      <c r="AD48" s="52"/>
    </row>
    <row r="49" spans="1:30" ht="12.75" customHeight="1">
      <c r="A49" s="54">
        <f t="shared" si="11"/>
        <v>16</v>
      </c>
      <c r="B49" s="22" t="s">
        <v>163</v>
      </c>
      <c r="C49" s="224">
        <f t="shared" si="10"/>
        <v>352363.83</v>
      </c>
      <c r="D49" s="234"/>
      <c r="E49" s="234"/>
      <c r="F49" s="234"/>
      <c r="G49" s="234"/>
      <c r="H49" s="234"/>
      <c r="I49" s="234"/>
      <c r="J49" s="234"/>
      <c r="K49" s="234"/>
      <c r="L49" s="115"/>
      <c r="M49" s="102"/>
      <c r="N49" s="234"/>
      <c r="O49" s="234"/>
      <c r="P49" s="115"/>
      <c r="Q49" s="102"/>
      <c r="R49" s="234"/>
      <c r="S49" s="234"/>
      <c r="T49" s="234"/>
      <c r="U49" s="234"/>
      <c r="V49" s="234"/>
      <c r="W49" s="102">
        <v>352363.83</v>
      </c>
      <c r="X49" s="234"/>
      <c r="Y49" s="102">
        <f>296636.79+70408.87</f>
        <v>367045.66</v>
      </c>
      <c r="Z49" s="102" t="s">
        <v>276</v>
      </c>
      <c r="AA49" s="41"/>
      <c r="AB49" s="52"/>
      <c r="AC49" s="52" t="s">
        <v>174</v>
      </c>
      <c r="AD49" s="52"/>
    </row>
    <row r="50" spans="1:30" ht="12.75" customHeight="1">
      <c r="A50" s="54">
        <f t="shared" si="11"/>
        <v>17</v>
      </c>
      <c r="B50" s="22" t="s">
        <v>164</v>
      </c>
      <c r="C50" s="224">
        <f t="shared" si="10"/>
        <v>1871824.06</v>
      </c>
      <c r="D50" s="234"/>
      <c r="E50" s="234"/>
      <c r="F50" s="234"/>
      <c r="G50" s="234"/>
      <c r="H50" s="234"/>
      <c r="I50" s="234"/>
      <c r="J50" s="234"/>
      <c r="K50" s="234"/>
      <c r="L50" s="102"/>
      <c r="M50" s="102"/>
      <c r="N50" s="234"/>
      <c r="O50" s="234"/>
      <c r="P50" s="102"/>
      <c r="Q50" s="102"/>
      <c r="R50" s="234"/>
      <c r="S50" s="234"/>
      <c r="T50" s="234"/>
      <c r="U50" s="234"/>
      <c r="V50" s="234"/>
      <c r="W50" s="102">
        <v>1871824.06</v>
      </c>
      <c r="X50" s="234"/>
      <c r="Y50" s="102">
        <f>577583.98+1294240.08</f>
        <v>1871824.06</v>
      </c>
      <c r="Z50" s="102" t="s">
        <v>277</v>
      </c>
      <c r="AA50" s="41"/>
      <c r="AB50" s="52"/>
      <c r="AC50" s="52" t="s">
        <v>174</v>
      </c>
      <c r="AD50" s="52"/>
    </row>
    <row r="51" spans="1:30" ht="12.75" customHeight="1">
      <c r="A51" s="54">
        <f t="shared" si="11"/>
        <v>18</v>
      </c>
      <c r="B51" s="22" t="s">
        <v>327</v>
      </c>
      <c r="C51" s="224">
        <f t="shared" si="10"/>
        <v>1059376.83</v>
      </c>
      <c r="D51" s="234"/>
      <c r="E51" s="234"/>
      <c r="F51" s="234"/>
      <c r="G51" s="234"/>
      <c r="H51" s="234"/>
      <c r="I51" s="234"/>
      <c r="J51" s="234"/>
      <c r="K51" s="234"/>
      <c r="L51" s="102"/>
      <c r="M51" s="102"/>
      <c r="N51" s="234"/>
      <c r="O51" s="234"/>
      <c r="P51" s="102"/>
      <c r="Q51" s="102"/>
      <c r="R51" s="234"/>
      <c r="S51" s="234"/>
      <c r="T51" s="234"/>
      <c r="U51" s="234"/>
      <c r="V51" s="234"/>
      <c r="W51" s="102">
        <v>1059376.83</v>
      </c>
      <c r="X51" s="234"/>
      <c r="Y51" s="102">
        <f>364344.77+695032.06</f>
        <v>1059376.83</v>
      </c>
      <c r="Z51" s="102" t="s">
        <v>275</v>
      </c>
      <c r="AA51" s="41"/>
      <c r="AB51" s="52"/>
      <c r="AC51" s="52" t="s">
        <v>174</v>
      </c>
      <c r="AD51" s="52"/>
    </row>
    <row r="52" spans="1:30" ht="12.75" customHeight="1">
      <c r="A52" s="54">
        <f t="shared" si="11"/>
        <v>19</v>
      </c>
      <c r="B52" s="22" t="s">
        <v>165</v>
      </c>
      <c r="C52" s="224">
        <f t="shared" si="10"/>
        <v>600615.9890000001</v>
      </c>
      <c r="D52" s="234"/>
      <c r="E52" s="234"/>
      <c r="F52" s="234"/>
      <c r="G52" s="234"/>
      <c r="H52" s="234"/>
      <c r="I52" s="234"/>
      <c r="J52" s="234"/>
      <c r="K52" s="234"/>
      <c r="L52" s="102"/>
      <c r="M52" s="102"/>
      <c r="N52" s="234"/>
      <c r="O52" s="234"/>
      <c r="P52" s="102"/>
      <c r="Q52" s="102"/>
      <c r="R52" s="234"/>
      <c r="S52" s="234"/>
      <c r="T52" s="234"/>
      <c r="U52" s="234"/>
      <c r="V52" s="234"/>
      <c r="W52" s="102">
        <v>600615.9890000001</v>
      </c>
      <c r="X52" s="234"/>
      <c r="Y52" s="102">
        <f>222419.589+378196.4</f>
        <v>600615.9890000001</v>
      </c>
      <c r="Z52" s="102" t="s">
        <v>275</v>
      </c>
      <c r="AA52" s="41"/>
      <c r="AB52" s="52"/>
      <c r="AC52" s="52" t="s">
        <v>174</v>
      </c>
      <c r="AD52" s="52"/>
    </row>
    <row r="53" spans="1:30" ht="12.75" customHeight="1">
      <c r="A53" s="54">
        <f t="shared" si="11"/>
        <v>20</v>
      </c>
      <c r="B53" s="22" t="s">
        <v>386</v>
      </c>
      <c r="C53" s="224">
        <f>D53+K53+M53+O53+Q53+S53+U53+V53+W53+X53</f>
        <v>140747.46</v>
      </c>
      <c r="D53" s="234"/>
      <c r="E53" s="234"/>
      <c r="F53" s="234"/>
      <c r="G53" s="234"/>
      <c r="H53" s="234"/>
      <c r="I53" s="234"/>
      <c r="J53" s="234"/>
      <c r="K53" s="234"/>
      <c r="L53" s="102"/>
      <c r="M53" s="102"/>
      <c r="N53" s="234"/>
      <c r="O53" s="234"/>
      <c r="P53" s="102"/>
      <c r="Q53" s="102"/>
      <c r="R53" s="234"/>
      <c r="S53" s="234"/>
      <c r="T53" s="234"/>
      <c r="U53" s="234"/>
      <c r="V53" s="234"/>
      <c r="W53" s="102">
        <v>140747.46</v>
      </c>
      <c r="X53" s="234"/>
      <c r="Y53" s="102"/>
      <c r="Z53" s="102"/>
      <c r="AA53" s="41"/>
      <c r="AB53" s="52"/>
      <c r="AC53" s="52"/>
      <c r="AD53" s="52"/>
    </row>
    <row r="54" spans="1:30" ht="15" customHeight="1">
      <c r="A54" s="54">
        <f t="shared" si="11"/>
        <v>21</v>
      </c>
      <c r="B54" s="213" t="s">
        <v>166</v>
      </c>
      <c r="C54" s="224">
        <f t="shared" si="10"/>
        <v>944675.06</v>
      </c>
      <c r="D54" s="234"/>
      <c r="E54" s="234"/>
      <c r="F54" s="234"/>
      <c r="G54" s="234"/>
      <c r="H54" s="234"/>
      <c r="I54" s="234"/>
      <c r="J54" s="234"/>
      <c r="K54" s="234"/>
      <c r="L54" s="102"/>
      <c r="M54" s="102"/>
      <c r="N54" s="234"/>
      <c r="O54" s="234"/>
      <c r="P54" s="102"/>
      <c r="Q54" s="102"/>
      <c r="R54" s="234"/>
      <c r="S54" s="234"/>
      <c r="T54" s="234"/>
      <c r="U54" s="234"/>
      <c r="V54" s="234"/>
      <c r="W54" s="102">
        <v>944675.06</v>
      </c>
      <c r="X54" s="234"/>
      <c r="Y54" s="102">
        <f>405437.38+156088.56+442755.84</f>
        <v>1004281.78</v>
      </c>
      <c r="Z54" s="102" t="s">
        <v>273</v>
      </c>
      <c r="AA54" s="41"/>
      <c r="AB54" s="52"/>
      <c r="AC54" s="52" t="s">
        <v>174</v>
      </c>
      <c r="AD54" s="52"/>
    </row>
    <row r="55" spans="1:30" ht="12.75" customHeight="1">
      <c r="A55" s="54">
        <f t="shared" si="11"/>
        <v>22</v>
      </c>
      <c r="B55" s="22" t="s">
        <v>167</v>
      </c>
      <c r="C55" s="224">
        <f t="shared" si="10"/>
        <v>520302.06</v>
      </c>
      <c r="D55" s="234"/>
      <c r="E55" s="234"/>
      <c r="F55" s="234"/>
      <c r="G55" s="234"/>
      <c r="H55" s="234"/>
      <c r="I55" s="234"/>
      <c r="J55" s="234"/>
      <c r="K55" s="234"/>
      <c r="L55" s="115"/>
      <c r="M55" s="102"/>
      <c r="N55" s="234"/>
      <c r="O55" s="234"/>
      <c r="P55" s="115"/>
      <c r="Q55" s="102"/>
      <c r="R55" s="234"/>
      <c r="S55" s="234"/>
      <c r="T55" s="234"/>
      <c r="U55" s="234"/>
      <c r="V55" s="234"/>
      <c r="W55" s="102">
        <v>520302.06</v>
      </c>
      <c r="X55" s="234"/>
      <c r="Y55" s="102">
        <f>520302.06</f>
        <v>520302.06</v>
      </c>
      <c r="Z55" s="102" t="s">
        <v>269</v>
      </c>
      <c r="AA55" s="41"/>
      <c r="AB55" s="52"/>
      <c r="AC55" s="52" t="s">
        <v>174</v>
      </c>
      <c r="AD55" s="52"/>
    </row>
    <row r="56" spans="1:30" ht="12.75" customHeight="1">
      <c r="A56" s="54">
        <f t="shared" si="11"/>
        <v>23</v>
      </c>
      <c r="B56" s="22" t="s">
        <v>168</v>
      </c>
      <c r="C56" s="224">
        <f t="shared" si="10"/>
        <v>449086.96</v>
      </c>
      <c r="D56" s="234"/>
      <c r="E56" s="234"/>
      <c r="F56" s="234"/>
      <c r="G56" s="234"/>
      <c r="H56" s="234"/>
      <c r="I56" s="234"/>
      <c r="J56" s="234"/>
      <c r="K56" s="234"/>
      <c r="L56" s="115"/>
      <c r="M56" s="102"/>
      <c r="N56" s="234"/>
      <c r="O56" s="234"/>
      <c r="P56" s="115"/>
      <c r="Q56" s="102"/>
      <c r="R56" s="234"/>
      <c r="S56" s="234"/>
      <c r="T56" s="234"/>
      <c r="U56" s="234"/>
      <c r="V56" s="234"/>
      <c r="W56" s="102">
        <v>449086.96</v>
      </c>
      <c r="X56" s="234"/>
      <c r="Y56" s="102">
        <f>403358.16+58911.76</f>
        <v>462269.92</v>
      </c>
      <c r="Z56" s="102" t="s">
        <v>276</v>
      </c>
      <c r="AA56" s="41"/>
      <c r="AB56" s="52"/>
      <c r="AC56" s="52" t="s">
        <v>174</v>
      </c>
      <c r="AD56" s="52"/>
    </row>
    <row r="57" spans="1:30" ht="12.75" customHeight="1">
      <c r="A57" s="54">
        <f t="shared" si="11"/>
        <v>24</v>
      </c>
      <c r="B57" s="22" t="s">
        <v>169</v>
      </c>
      <c r="C57" s="224">
        <f t="shared" si="10"/>
        <v>428682.08</v>
      </c>
      <c r="D57" s="234"/>
      <c r="E57" s="234"/>
      <c r="F57" s="234"/>
      <c r="G57" s="234"/>
      <c r="H57" s="234"/>
      <c r="I57" s="234"/>
      <c r="J57" s="234"/>
      <c r="K57" s="234"/>
      <c r="L57" s="115"/>
      <c r="M57" s="102"/>
      <c r="N57" s="234"/>
      <c r="O57" s="234"/>
      <c r="P57" s="115"/>
      <c r="Q57" s="102"/>
      <c r="R57" s="234"/>
      <c r="S57" s="234"/>
      <c r="T57" s="234"/>
      <c r="U57" s="234"/>
      <c r="V57" s="234"/>
      <c r="W57" s="102">
        <v>428682.08</v>
      </c>
      <c r="X57" s="234"/>
      <c r="Y57" s="102">
        <f>99976.61+346567.22</f>
        <v>446543.82999999996</v>
      </c>
      <c r="Z57" s="102" t="s">
        <v>276</v>
      </c>
      <c r="AA57" s="41"/>
      <c r="AB57" s="52"/>
      <c r="AC57" s="52" t="s">
        <v>174</v>
      </c>
      <c r="AD57" s="52"/>
    </row>
    <row r="58" spans="1:30" ht="12.75" customHeight="1">
      <c r="A58" s="54">
        <f t="shared" si="11"/>
        <v>25</v>
      </c>
      <c r="B58" s="213" t="s">
        <v>170</v>
      </c>
      <c r="C58" s="224">
        <f t="shared" si="10"/>
        <v>1117114.38</v>
      </c>
      <c r="D58" s="234"/>
      <c r="E58" s="234"/>
      <c r="F58" s="234"/>
      <c r="G58" s="234"/>
      <c r="H58" s="234"/>
      <c r="I58" s="234"/>
      <c r="J58" s="234"/>
      <c r="K58" s="234"/>
      <c r="L58" s="102"/>
      <c r="M58" s="102"/>
      <c r="N58" s="234"/>
      <c r="O58" s="234"/>
      <c r="P58" s="102"/>
      <c r="Q58" s="102"/>
      <c r="R58" s="234"/>
      <c r="S58" s="234"/>
      <c r="T58" s="234"/>
      <c r="U58" s="234"/>
      <c r="V58" s="234"/>
      <c r="W58" s="102">
        <v>1117114.38</v>
      </c>
      <c r="X58" s="234"/>
      <c r="Y58" s="102">
        <f>765112.74+398548.07</f>
        <v>1163660.81</v>
      </c>
      <c r="Z58" s="102" t="s">
        <v>274</v>
      </c>
      <c r="AA58" s="41"/>
      <c r="AB58" s="52"/>
      <c r="AC58" s="52" t="s">
        <v>174</v>
      </c>
      <c r="AD58" s="52"/>
    </row>
    <row r="59" spans="1:30" ht="12.75" customHeight="1">
      <c r="A59" s="54">
        <f t="shared" si="11"/>
        <v>26</v>
      </c>
      <c r="B59" s="22" t="s">
        <v>171</v>
      </c>
      <c r="C59" s="224">
        <f t="shared" si="10"/>
        <v>1006229.6699999999</v>
      </c>
      <c r="D59" s="234"/>
      <c r="E59" s="234"/>
      <c r="F59" s="234"/>
      <c r="G59" s="234"/>
      <c r="H59" s="234"/>
      <c r="I59" s="234"/>
      <c r="J59" s="234"/>
      <c r="K59" s="234"/>
      <c r="L59" s="115"/>
      <c r="M59" s="102"/>
      <c r="N59" s="234"/>
      <c r="O59" s="234"/>
      <c r="P59" s="115"/>
      <c r="Q59" s="102"/>
      <c r="R59" s="234"/>
      <c r="S59" s="234"/>
      <c r="T59" s="234"/>
      <c r="U59" s="234"/>
      <c r="V59" s="234"/>
      <c r="W59" s="102">
        <v>1006229.6699999999</v>
      </c>
      <c r="X59" s="234"/>
      <c r="Y59" s="102">
        <f>145660.51+902495.39</f>
        <v>1048155.9</v>
      </c>
      <c r="Z59" s="102" t="s">
        <v>276</v>
      </c>
      <c r="AA59" s="41"/>
      <c r="AB59" s="52"/>
      <c r="AC59" s="52" t="s">
        <v>174</v>
      </c>
      <c r="AD59" s="52"/>
    </row>
    <row r="60" spans="1:30" ht="12.75" customHeight="1">
      <c r="A60" s="54">
        <f t="shared" si="11"/>
        <v>27</v>
      </c>
      <c r="B60" s="22" t="s">
        <v>172</v>
      </c>
      <c r="C60" s="224">
        <f t="shared" si="10"/>
        <v>1612403.9</v>
      </c>
      <c r="D60" s="234"/>
      <c r="E60" s="234"/>
      <c r="F60" s="234"/>
      <c r="G60" s="234"/>
      <c r="H60" s="234"/>
      <c r="I60" s="234"/>
      <c r="J60" s="234"/>
      <c r="K60" s="234"/>
      <c r="L60" s="115"/>
      <c r="M60" s="102"/>
      <c r="N60" s="234"/>
      <c r="O60" s="234"/>
      <c r="P60" s="115"/>
      <c r="Q60" s="234"/>
      <c r="R60" s="234"/>
      <c r="S60" s="234"/>
      <c r="T60" s="234"/>
      <c r="U60" s="234"/>
      <c r="V60" s="234"/>
      <c r="W60" s="102">
        <v>1612403.9</v>
      </c>
      <c r="X60" s="234"/>
      <c r="Y60" s="102">
        <f>660039.47+296698.48+655665.95</f>
        <v>1612403.9</v>
      </c>
      <c r="Z60" s="102" t="s">
        <v>278</v>
      </c>
      <c r="AA60" s="41"/>
      <c r="AB60" s="52"/>
      <c r="AC60" s="52" t="s">
        <v>174</v>
      </c>
      <c r="AD60" s="52"/>
    </row>
    <row r="61" spans="1:30" ht="12.75" customHeight="1">
      <c r="A61" s="274" t="s">
        <v>60</v>
      </c>
      <c r="B61" s="274"/>
      <c r="C61" s="224">
        <f>SUM(C45:C60)</f>
        <v>11950637.728999998</v>
      </c>
      <c r="D61" s="224">
        <f aca="true" t="shared" si="12" ref="D61:V61">SUM(D45:D60)</f>
        <v>0</v>
      </c>
      <c r="E61" s="224">
        <f t="shared" si="12"/>
        <v>0</v>
      </c>
      <c r="F61" s="224">
        <f t="shared" si="12"/>
        <v>0</v>
      </c>
      <c r="G61" s="224">
        <f t="shared" si="12"/>
        <v>0</v>
      </c>
      <c r="H61" s="224">
        <f t="shared" si="12"/>
        <v>0</v>
      </c>
      <c r="I61" s="224">
        <f t="shared" si="12"/>
        <v>0</v>
      </c>
      <c r="J61" s="224">
        <f t="shared" si="12"/>
        <v>0</v>
      </c>
      <c r="K61" s="224">
        <f t="shared" si="12"/>
        <v>0</v>
      </c>
      <c r="L61" s="224">
        <f t="shared" si="12"/>
        <v>0</v>
      </c>
      <c r="M61" s="224">
        <f t="shared" si="12"/>
        <v>0</v>
      </c>
      <c r="N61" s="224">
        <f t="shared" si="12"/>
        <v>0</v>
      </c>
      <c r="O61" s="224">
        <f t="shared" si="12"/>
        <v>0</v>
      </c>
      <c r="P61" s="224">
        <f t="shared" si="12"/>
        <v>0</v>
      </c>
      <c r="Q61" s="224">
        <f t="shared" si="12"/>
        <v>0</v>
      </c>
      <c r="R61" s="224">
        <f t="shared" si="12"/>
        <v>0</v>
      </c>
      <c r="S61" s="224">
        <f t="shared" si="12"/>
        <v>0</v>
      </c>
      <c r="T61" s="224">
        <f t="shared" si="12"/>
        <v>0</v>
      </c>
      <c r="U61" s="224">
        <f t="shared" si="12"/>
        <v>0</v>
      </c>
      <c r="V61" s="224">
        <f t="shared" si="12"/>
        <v>0</v>
      </c>
      <c r="W61" s="224">
        <f>SUM(W45:W60)</f>
        <v>11950637.728999998</v>
      </c>
      <c r="X61" s="224">
        <f>C61-W61</f>
        <v>0</v>
      </c>
      <c r="Y61" s="224"/>
      <c r="Z61" s="224"/>
      <c r="AA61" s="53">
        <f>E61+F61+G61+H61+I61+K61+M61+O61+Q61+S61+U61+W61+V61+X61</f>
        <v>11950637.728999998</v>
      </c>
      <c r="AB61" s="52">
        <f>AA61-C61</f>
        <v>0</v>
      </c>
      <c r="AC61" s="52"/>
      <c r="AD61" s="52"/>
    </row>
    <row r="62" spans="1:30" ht="12.75" customHeight="1">
      <c r="A62" s="259" t="s">
        <v>248</v>
      </c>
      <c r="B62" s="259"/>
      <c r="C62" s="259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53"/>
      <c r="AB62" s="52"/>
      <c r="AC62" s="52"/>
      <c r="AD62" s="52"/>
    </row>
    <row r="63" spans="1:30" ht="12.75" customHeight="1">
      <c r="A63" s="54">
        <f>A60+1</f>
        <v>28</v>
      </c>
      <c r="B63" s="112" t="s">
        <v>190</v>
      </c>
      <c r="C63" s="224">
        <f>D63+K63+M63+O63+Q63+S63+U63+V63+W63+X63</f>
        <v>526776.22</v>
      </c>
      <c r="D63" s="234"/>
      <c r="E63" s="102"/>
      <c r="F63" s="102"/>
      <c r="G63" s="102"/>
      <c r="H63" s="102"/>
      <c r="I63" s="102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>
        <v>526776.22</v>
      </c>
      <c r="X63" s="224"/>
      <c r="Y63" s="224"/>
      <c r="Z63" s="102" t="s">
        <v>290</v>
      </c>
      <c r="AA63" s="53"/>
      <c r="AB63" s="52"/>
      <c r="AC63" s="52"/>
      <c r="AD63" s="52"/>
    </row>
    <row r="64" spans="1:30" ht="12.75" customHeight="1">
      <c r="A64" s="54">
        <f>A63+1</f>
        <v>29</v>
      </c>
      <c r="B64" s="112" t="s">
        <v>191</v>
      </c>
      <c r="C64" s="224">
        <f>D64+K64+M64+O64+Q64+S64+U64+V64+W64+X64</f>
        <v>302723.58</v>
      </c>
      <c r="D64" s="23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>
        <v>302723.58</v>
      </c>
      <c r="X64" s="224"/>
      <c r="Y64" s="224"/>
      <c r="Z64" s="224" t="s">
        <v>289</v>
      </c>
      <c r="AA64" s="53"/>
      <c r="AB64" s="52"/>
      <c r="AC64" s="52"/>
      <c r="AD64" s="52"/>
    </row>
    <row r="65" spans="1:30" ht="12.75" customHeight="1">
      <c r="A65" s="54">
        <f>A64+1</f>
        <v>30</v>
      </c>
      <c r="B65" s="112" t="s">
        <v>192</v>
      </c>
      <c r="C65" s="224">
        <f>D65+K65+M65+O65+Q65+S65+U65+V65+W65+X65</f>
        <v>561302.39</v>
      </c>
      <c r="D65" s="23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>
        <v>561302.39</v>
      </c>
      <c r="X65" s="224"/>
      <c r="Y65" s="224"/>
      <c r="Z65" s="224" t="s">
        <v>288</v>
      </c>
      <c r="AA65" s="53"/>
      <c r="AB65" s="52"/>
      <c r="AC65" s="52"/>
      <c r="AD65" s="52"/>
    </row>
    <row r="66" spans="1:30" ht="12.75" customHeight="1">
      <c r="A66" s="54">
        <f>A65+1</f>
        <v>31</v>
      </c>
      <c r="B66" s="112" t="s">
        <v>193</v>
      </c>
      <c r="C66" s="224">
        <f>D66+K66+M66+O66+Q66+S66+U66+V66+W66+X66</f>
        <v>1005596.14</v>
      </c>
      <c r="D66" s="23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>
        <v>1005596.14</v>
      </c>
      <c r="X66" s="52"/>
      <c r="Y66" s="224"/>
      <c r="Z66" s="102" t="s">
        <v>268</v>
      </c>
      <c r="AA66" s="53"/>
      <c r="AB66" s="52"/>
      <c r="AC66" s="52"/>
      <c r="AD66" s="52"/>
    </row>
    <row r="67" spans="1:30" ht="12.75" customHeight="1">
      <c r="A67" s="274" t="s">
        <v>60</v>
      </c>
      <c r="B67" s="274"/>
      <c r="C67" s="224">
        <f>SUM(C63:C66)</f>
        <v>2396398.33</v>
      </c>
      <c r="D67" s="224">
        <f aca="true" t="shared" si="13" ref="D67:W67">SUM(D63:D66)</f>
        <v>0</v>
      </c>
      <c r="E67" s="224">
        <f t="shared" si="13"/>
        <v>0</v>
      </c>
      <c r="F67" s="224">
        <f t="shared" si="13"/>
        <v>0</v>
      </c>
      <c r="G67" s="224">
        <f t="shared" si="13"/>
        <v>0</v>
      </c>
      <c r="H67" s="224">
        <f t="shared" si="13"/>
        <v>0</v>
      </c>
      <c r="I67" s="224">
        <f t="shared" si="13"/>
        <v>0</v>
      </c>
      <c r="J67" s="224">
        <f t="shared" si="13"/>
        <v>0</v>
      </c>
      <c r="K67" s="224">
        <f t="shared" si="13"/>
        <v>0</v>
      </c>
      <c r="L67" s="224">
        <f t="shared" si="13"/>
        <v>0</v>
      </c>
      <c r="M67" s="224">
        <f t="shared" si="13"/>
        <v>0</v>
      </c>
      <c r="N67" s="224">
        <f t="shared" si="13"/>
        <v>0</v>
      </c>
      <c r="O67" s="224">
        <f t="shared" si="13"/>
        <v>0</v>
      </c>
      <c r="P67" s="224">
        <f t="shared" si="13"/>
        <v>0</v>
      </c>
      <c r="Q67" s="224">
        <f t="shared" si="13"/>
        <v>0</v>
      </c>
      <c r="R67" s="224">
        <f t="shared" si="13"/>
        <v>0</v>
      </c>
      <c r="S67" s="224">
        <f t="shared" si="13"/>
        <v>0</v>
      </c>
      <c r="T67" s="224">
        <f t="shared" si="13"/>
        <v>0</v>
      </c>
      <c r="U67" s="224">
        <f t="shared" si="13"/>
        <v>0</v>
      </c>
      <c r="V67" s="224">
        <f t="shared" si="13"/>
        <v>0</v>
      </c>
      <c r="W67" s="224">
        <f t="shared" si="13"/>
        <v>2396398.33</v>
      </c>
      <c r="X67" s="224">
        <f>C67-W67</f>
        <v>0</v>
      </c>
      <c r="Y67" s="224"/>
      <c r="Z67" s="224"/>
      <c r="AA67" s="53"/>
      <c r="AB67" s="52"/>
      <c r="AC67" s="52"/>
      <c r="AD67" s="52"/>
    </row>
    <row r="68" spans="1:30" ht="12.75" customHeight="1">
      <c r="A68" s="259" t="s">
        <v>249</v>
      </c>
      <c r="B68" s="259"/>
      <c r="C68" s="259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53"/>
      <c r="AB68" s="52"/>
      <c r="AC68" s="52"/>
      <c r="AD68" s="52"/>
    </row>
    <row r="69" spans="1:30" ht="12.75" customHeight="1">
      <c r="A69" s="54">
        <f>A66+1</f>
        <v>32</v>
      </c>
      <c r="B69" s="112" t="s">
        <v>200</v>
      </c>
      <c r="C69" s="224">
        <f aca="true" t="shared" si="14" ref="C69:C75">D69+K69+M69+O69+Q69+S69+U69+V69+W69+X69</f>
        <v>311436.33</v>
      </c>
      <c r="D69" s="23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>
        <v>311436.33</v>
      </c>
      <c r="X69" s="224"/>
      <c r="Y69" s="224">
        <v>311436.33</v>
      </c>
      <c r="Z69" s="224" t="s">
        <v>264</v>
      </c>
      <c r="AA69" s="53"/>
      <c r="AB69" s="52"/>
      <c r="AC69" s="52"/>
      <c r="AD69" s="52"/>
    </row>
    <row r="70" spans="1:30" ht="12.75" customHeight="1">
      <c r="A70" s="54">
        <f aca="true" t="shared" si="15" ref="A70:A75">A69+1</f>
        <v>33</v>
      </c>
      <c r="B70" s="112" t="s">
        <v>201</v>
      </c>
      <c r="C70" s="224">
        <f t="shared" si="14"/>
        <v>375568.08</v>
      </c>
      <c r="D70" s="23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>
        <v>375568.08</v>
      </c>
      <c r="X70" s="224"/>
      <c r="Y70" s="224">
        <v>391216.75</v>
      </c>
      <c r="Z70" s="224" t="s">
        <v>264</v>
      </c>
      <c r="AA70" s="53"/>
      <c r="AB70" s="52"/>
      <c r="AC70" s="52"/>
      <c r="AD70" s="52"/>
    </row>
    <row r="71" spans="1:30" ht="12.75" customHeight="1">
      <c r="A71" s="54">
        <f t="shared" si="15"/>
        <v>34</v>
      </c>
      <c r="B71" s="121" t="s">
        <v>194</v>
      </c>
      <c r="C71" s="224">
        <f t="shared" si="14"/>
        <v>180063.36</v>
      </c>
      <c r="D71" s="23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>
        <v>180063.36</v>
      </c>
      <c r="X71" s="224"/>
      <c r="Y71" s="224">
        <v>180063.36</v>
      </c>
      <c r="Z71" s="224" t="s">
        <v>263</v>
      </c>
      <c r="AA71" s="53"/>
      <c r="AB71" s="52"/>
      <c r="AC71" s="52"/>
      <c r="AD71" s="52"/>
    </row>
    <row r="72" spans="1:30" ht="12.75" customHeight="1">
      <c r="A72" s="54">
        <f t="shared" si="15"/>
        <v>35</v>
      </c>
      <c r="B72" s="121" t="s">
        <v>195</v>
      </c>
      <c r="C72" s="224">
        <f t="shared" si="14"/>
        <v>470523.95</v>
      </c>
      <c r="D72" s="23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>
        <v>470523.95</v>
      </c>
      <c r="X72" s="224"/>
      <c r="Y72" s="224">
        <v>470523.95</v>
      </c>
      <c r="Z72" s="224" t="s">
        <v>263</v>
      </c>
      <c r="AA72" s="53"/>
      <c r="AB72" s="52"/>
      <c r="AC72" s="52"/>
      <c r="AD72" s="52"/>
    </row>
    <row r="73" spans="1:30" ht="12.75" customHeight="1">
      <c r="A73" s="54">
        <f t="shared" si="15"/>
        <v>36</v>
      </c>
      <c r="B73" s="121" t="s">
        <v>196</v>
      </c>
      <c r="C73" s="224">
        <f t="shared" si="14"/>
        <v>470523.95</v>
      </c>
      <c r="D73" s="23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>
        <v>470523.95</v>
      </c>
      <c r="X73" s="224"/>
      <c r="Y73" s="224">
        <v>470524.95</v>
      </c>
      <c r="Z73" s="224" t="s">
        <v>263</v>
      </c>
      <c r="AA73" s="53"/>
      <c r="AB73" s="52"/>
      <c r="AC73" s="52"/>
      <c r="AD73" s="52"/>
    </row>
    <row r="74" spans="1:30" ht="12.75" customHeight="1">
      <c r="A74" s="54">
        <f t="shared" si="15"/>
        <v>37</v>
      </c>
      <c r="B74" s="121" t="s">
        <v>197</v>
      </c>
      <c r="C74" s="224">
        <f t="shared" si="14"/>
        <v>322007.71</v>
      </c>
      <c r="D74" s="23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>
        <v>322007.71</v>
      </c>
      <c r="X74" s="224"/>
      <c r="Y74" s="224">
        <v>322007.71</v>
      </c>
      <c r="Z74" s="224" t="s">
        <v>263</v>
      </c>
      <c r="AA74" s="53"/>
      <c r="AB74" s="52"/>
      <c r="AC74" s="52"/>
      <c r="AD74" s="52"/>
    </row>
    <row r="75" spans="1:30" ht="12.75" customHeight="1">
      <c r="A75" s="54">
        <f t="shared" si="15"/>
        <v>38</v>
      </c>
      <c r="B75" s="121" t="s">
        <v>198</v>
      </c>
      <c r="C75" s="224">
        <f t="shared" si="14"/>
        <v>397603.11</v>
      </c>
      <c r="D75" s="23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>
        <v>397603.11</v>
      </c>
      <c r="X75" s="224"/>
      <c r="Y75" s="224">
        <v>397603.11</v>
      </c>
      <c r="Z75" s="224" t="s">
        <v>263</v>
      </c>
      <c r="AA75" s="53"/>
      <c r="AB75" s="52"/>
      <c r="AC75" s="52"/>
      <c r="AD75" s="52"/>
    </row>
    <row r="76" spans="1:30" ht="12.75" customHeight="1">
      <c r="A76" s="274" t="s">
        <v>60</v>
      </c>
      <c r="B76" s="274"/>
      <c r="C76" s="224">
        <f>SUM(C69:C75)</f>
        <v>2527726.4899999998</v>
      </c>
      <c r="D76" s="224">
        <f aca="true" t="shared" si="16" ref="D76:V76">SUM(D69:D75)</f>
        <v>0</v>
      </c>
      <c r="E76" s="224">
        <f t="shared" si="16"/>
        <v>0</v>
      </c>
      <c r="F76" s="224">
        <f t="shared" si="16"/>
        <v>0</v>
      </c>
      <c r="G76" s="224">
        <f t="shared" si="16"/>
        <v>0</v>
      </c>
      <c r="H76" s="224">
        <f t="shared" si="16"/>
        <v>0</v>
      </c>
      <c r="I76" s="224">
        <f t="shared" si="16"/>
        <v>0</v>
      </c>
      <c r="J76" s="224">
        <f t="shared" si="16"/>
        <v>0</v>
      </c>
      <c r="K76" s="224">
        <f t="shared" si="16"/>
        <v>0</v>
      </c>
      <c r="L76" s="224">
        <f t="shared" si="16"/>
        <v>0</v>
      </c>
      <c r="M76" s="224">
        <f t="shared" si="16"/>
        <v>0</v>
      </c>
      <c r="N76" s="224">
        <f t="shared" si="16"/>
        <v>0</v>
      </c>
      <c r="O76" s="224">
        <f t="shared" si="16"/>
        <v>0</v>
      </c>
      <c r="P76" s="224">
        <f t="shared" si="16"/>
        <v>0</v>
      </c>
      <c r="Q76" s="224">
        <f t="shared" si="16"/>
        <v>0</v>
      </c>
      <c r="R76" s="224">
        <f t="shared" si="16"/>
        <v>0</v>
      </c>
      <c r="S76" s="224">
        <f t="shared" si="16"/>
        <v>0</v>
      </c>
      <c r="T76" s="224">
        <f t="shared" si="16"/>
        <v>0</v>
      </c>
      <c r="U76" s="224">
        <f t="shared" si="16"/>
        <v>0</v>
      </c>
      <c r="V76" s="224">
        <f t="shared" si="16"/>
        <v>0</v>
      </c>
      <c r="W76" s="224">
        <f>SUM(W69:W75)</f>
        <v>2527726.4899999998</v>
      </c>
      <c r="X76" s="224">
        <f>C76-W76</f>
        <v>0</v>
      </c>
      <c r="Y76" s="224"/>
      <c r="Z76" s="224"/>
      <c r="AA76" s="53"/>
      <c r="AB76" s="52"/>
      <c r="AC76" s="52"/>
      <c r="AD76" s="52"/>
    </row>
    <row r="77" spans="1:30" ht="12.75" customHeight="1">
      <c r="A77" s="259" t="s">
        <v>294</v>
      </c>
      <c r="B77" s="259"/>
      <c r="C77" s="259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53"/>
      <c r="AB77" s="52"/>
      <c r="AC77" s="52"/>
      <c r="AD77" s="52"/>
    </row>
    <row r="78" spans="1:30" ht="12.75" customHeight="1">
      <c r="A78" s="54">
        <f>A75+1</f>
        <v>39</v>
      </c>
      <c r="B78" s="112" t="s">
        <v>295</v>
      </c>
      <c r="C78" s="224">
        <f>D78+K78+M78+O78+Q78+S78+U78+V78+W78+X78</f>
        <v>236936.81</v>
      </c>
      <c r="D78" s="23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>
        <v>236936.81</v>
      </c>
      <c r="X78" s="246"/>
      <c r="Y78" s="224"/>
      <c r="Z78" s="224" t="s">
        <v>300</v>
      </c>
      <c r="AA78" s="53"/>
      <c r="AB78" s="52"/>
      <c r="AC78" s="52"/>
      <c r="AD78" s="52"/>
    </row>
    <row r="79" spans="1:30" ht="12.75" customHeight="1">
      <c r="A79" s="54">
        <f>A78+1</f>
        <v>40</v>
      </c>
      <c r="B79" s="112" t="s">
        <v>296</v>
      </c>
      <c r="C79" s="224">
        <f>D79+K79+M79+O79+Q79+S79+U79+V79+W79+X79</f>
        <v>298513.42</v>
      </c>
      <c r="D79" s="23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>
        <v>298513.42</v>
      </c>
      <c r="X79" s="246"/>
      <c r="Y79" s="224"/>
      <c r="Z79" s="224" t="s">
        <v>300</v>
      </c>
      <c r="AA79" s="53"/>
      <c r="AB79" s="52"/>
      <c r="AC79" s="52"/>
      <c r="AD79" s="52"/>
    </row>
    <row r="80" spans="1:30" ht="12.75" customHeight="1">
      <c r="A80" s="54">
        <f>A79+1</f>
        <v>41</v>
      </c>
      <c r="B80" s="112" t="s">
        <v>297</v>
      </c>
      <c r="C80" s="224">
        <f>D80+K80+M80+O80+Q80+S80+U80+V80+W80+X80</f>
        <v>259238.84999999998</v>
      </c>
      <c r="D80" s="23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>
        <v>259238.84999999998</v>
      </c>
      <c r="X80" s="246"/>
      <c r="Y80" s="224"/>
      <c r="Z80" s="224" t="s">
        <v>300</v>
      </c>
      <c r="AA80" s="53"/>
      <c r="AB80" s="52"/>
      <c r="AC80" s="52"/>
      <c r="AD80" s="52"/>
    </row>
    <row r="81" spans="1:30" ht="12.75" customHeight="1">
      <c r="A81" s="54">
        <f>A80+1</f>
        <v>42</v>
      </c>
      <c r="B81" s="112" t="s">
        <v>298</v>
      </c>
      <c r="C81" s="224">
        <f>D81+K81+M81+O81+Q81+S81+U81+V81+W81+X81</f>
        <v>565961.65</v>
      </c>
      <c r="D81" s="23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>
        <v>565961.65</v>
      </c>
      <c r="X81" s="246"/>
      <c r="Y81" s="224"/>
      <c r="Z81" s="224" t="s">
        <v>300</v>
      </c>
      <c r="AA81" s="53"/>
      <c r="AB81" s="52"/>
      <c r="AC81" s="52"/>
      <c r="AD81" s="52"/>
    </row>
    <row r="82" spans="1:30" ht="12.75" customHeight="1">
      <c r="A82" s="54">
        <f>A81+1</f>
        <v>43</v>
      </c>
      <c r="B82" s="112" t="s">
        <v>299</v>
      </c>
      <c r="C82" s="224">
        <f>D82+K82+M82+O82+Q82+S82+U82+V82+W82+X82</f>
        <v>271379.89</v>
      </c>
      <c r="D82" s="23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>
        <v>271379.89</v>
      </c>
      <c r="X82" s="246"/>
      <c r="Y82" s="224"/>
      <c r="Z82" s="224" t="s">
        <v>300</v>
      </c>
      <c r="AA82" s="53"/>
      <c r="AB82" s="52"/>
      <c r="AC82" s="52"/>
      <c r="AD82" s="52"/>
    </row>
    <row r="83" spans="1:30" ht="12.75" customHeight="1">
      <c r="A83" s="274" t="s">
        <v>60</v>
      </c>
      <c r="B83" s="274"/>
      <c r="C83" s="224">
        <f>SUM(C78:C82)</f>
        <v>1632030.62</v>
      </c>
      <c r="D83" s="224">
        <f aca="true" t="shared" si="17" ref="D83:W83">SUM(D78:D82)</f>
        <v>0</v>
      </c>
      <c r="E83" s="224">
        <f t="shared" si="17"/>
        <v>0</v>
      </c>
      <c r="F83" s="224">
        <f t="shared" si="17"/>
        <v>0</v>
      </c>
      <c r="G83" s="224">
        <f t="shared" si="17"/>
        <v>0</v>
      </c>
      <c r="H83" s="224">
        <f t="shared" si="17"/>
        <v>0</v>
      </c>
      <c r="I83" s="224">
        <f t="shared" si="17"/>
        <v>0</v>
      </c>
      <c r="J83" s="224">
        <f t="shared" si="17"/>
        <v>0</v>
      </c>
      <c r="K83" s="224">
        <f t="shared" si="17"/>
        <v>0</v>
      </c>
      <c r="L83" s="224">
        <f t="shared" si="17"/>
        <v>0</v>
      </c>
      <c r="M83" s="224">
        <f t="shared" si="17"/>
        <v>0</v>
      </c>
      <c r="N83" s="224">
        <f t="shared" si="17"/>
        <v>0</v>
      </c>
      <c r="O83" s="224">
        <f t="shared" si="17"/>
        <v>0</v>
      </c>
      <c r="P83" s="224">
        <f t="shared" si="17"/>
        <v>0</v>
      </c>
      <c r="Q83" s="224">
        <f t="shared" si="17"/>
        <v>0</v>
      </c>
      <c r="R83" s="224">
        <f t="shared" si="17"/>
        <v>0</v>
      </c>
      <c r="S83" s="224">
        <f t="shared" si="17"/>
        <v>0</v>
      </c>
      <c r="T83" s="224">
        <f t="shared" si="17"/>
        <v>0</v>
      </c>
      <c r="U83" s="224">
        <f t="shared" si="17"/>
        <v>0</v>
      </c>
      <c r="V83" s="224">
        <f t="shared" si="17"/>
        <v>0</v>
      </c>
      <c r="W83" s="224">
        <f t="shared" si="17"/>
        <v>1632030.62</v>
      </c>
      <c r="X83" s="224">
        <f>C83-W83</f>
        <v>0</v>
      </c>
      <c r="Y83" s="224"/>
      <c r="Z83" s="224"/>
      <c r="AA83" s="53"/>
      <c r="AB83" s="52"/>
      <c r="AC83" s="52"/>
      <c r="AD83" s="52"/>
    </row>
    <row r="84" spans="1:30" ht="12.75" customHeight="1">
      <c r="A84" s="258" t="s">
        <v>101</v>
      </c>
      <c r="B84" s="258"/>
      <c r="C84" s="258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234"/>
      <c r="Z84" s="234"/>
      <c r="AA84" s="53"/>
      <c r="AB84" s="52"/>
      <c r="AC84" s="52"/>
      <c r="AD84" s="52"/>
    </row>
    <row r="85" spans="1:30" ht="12.75" customHeight="1">
      <c r="A85" s="54">
        <f>A82+1</f>
        <v>44</v>
      </c>
      <c r="B85" s="28" t="s">
        <v>353</v>
      </c>
      <c r="C85" s="224">
        <f>D85+K85+M85+O85+Q85+S85+U85+V85+W85+X85</f>
        <v>180927.48</v>
      </c>
      <c r="D85" s="234"/>
      <c r="E85" s="224"/>
      <c r="F85" s="224"/>
      <c r="G85" s="224"/>
      <c r="H85" s="224"/>
      <c r="I85" s="224"/>
      <c r="J85" s="224"/>
      <c r="K85" s="224"/>
      <c r="L85" s="167"/>
      <c r="M85" s="142"/>
      <c r="N85" s="224"/>
      <c r="O85" s="224"/>
      <c r="P85" s="224"/>
      <c r="Q85" s="224"/>
      <c r="R85" s="224"/>
      <c r="S85" s="224"/>
      <c r="T85" s="224"/>
      <c r="U85" s="224"/>
      <c r="V85" s="224"/>
      <c r="W85" s="224">
        <v>180927.48</v>
      </c>
      <c r="X85" s="224"/>
      <c r="Y85" s="224">
        <f>180927.48</f>
        <v>180927.48</v>
      </c>
      <c r="Z85" s="224" t="s">
        <v>263</v>
      </c>
      <c r="AA85" s="53"/>
      <c r="AB85" s="52"/>
      <c r="AC85" s="52"/>
      <c r="AD85" s="52"/>
    </row>
    <row r="86" spans="1:30" ht="12.75" customHeight="1">
      <c r="A86" s="54">
        <f>A85+1</f>
        <v>45</v>
      </c>
      <c r="B86" s="28" t="s">
        <v>385</v>
      </c>
      <c r="C86" s="224">
        <f>D86+K86+M86+O86+Q86+S86+U86+V86+W86+X86</f>
        <v>90947.72</v>
      </c>
      <c r="D86" s="234"/>
      <c r="E86" s="224"/>
      <c r="F86" s="224"/>
      <c r="G86" s="224"/>
      <c r="H86" s="224"/>
      <c r="I86" s="224"/>
      <c r="J86" s="224"/>
      <c r="K86" s="224"/>
      <c r="L86" s="167"/>
      <c r="M86" s="142"/>
      <c r="N86" s="224"/>
      <c r="O86" s="224"/>
      <c r="P86" s="224"/>
      <c r="Q86" s="224"/>
      <c r="R86" s="224"/>
      <c r="S86" s="224"/>
      <c r="T86" s="224"/>
      <c r="U86" s="224"/>
      <c r="V86" s="224"/>
      <c r="W86" s="224">
        <v>90947.72</v>
      </c>
      <c r="X86" s="224"/>
      <c r="Y86" s="224">
        <f>180927.48</f>
        <v>180927.48</v>
      </c>
      <c r="Z86" s="224" t="s">
        <v>263</v>
      </c>
      <c r="AA86" s="53"/>
      <c r="AB86" s="52"/>
      <c r="AC86" s="52"/>
      <c r="AD86" s="52"/>
    </row>
    <row r="87" spans="1:30" ht="12.75" customHeight="1">
      <c r="A87" s="274" t="s">
        <v>60</v>
      </c>
      <c r="B87" s="274"/>
      <c r="C87" s="224">
        <f>SUM(C85:C86)</f>
        <v>271875.2</v>
      </c>
      <c r="D87" s="224">
        <f aca="true" t="shared" si="18" ref="D87:V87">SUM(D85:D85)</f>
        <v>0</v>
      </c>
      <c r="E87" s="224">
        <f t="shared" si="18"/>
        <v>0</v>
      </c>
      <c r="F87" s="224">
        <f t="shared" si="18"/>
        <v>0</v>
      </c>
      <c r="G87" s="224">
        <f t="shared" si="18"/>
        <v>0</v>
      </c>
      <c r="H87" s="224">
        <f t="shared" si="18"/>
        <v>0</v>
      </c>
      <c r="I87" s="224">
        <f t="shared" si="18"/>
        <v>0</v>
      </c>
      <c r="J87" s="224">
        <f t="shared" si="18"/>
        <v>0</v>
      </c>
      <c r="K87" s="224">
        <f t="shared" si="18"/>
        <v>0</v>
      </c>
      <c r="L87" s="224">
        <f t="shared" si="18"/>
        <v>0</v>
      </c>
      <c r="M87" s="224">
        <f t="shared" si="18"/>
        <v>0</v>
      </c>
      <c r="N87" s="224">
        <f t="shared" si="18"/>
        <v>0</v>
      </c>
      <c r="O87" s="224">
        <f t="shared" si="18"/>
        <v>0</v>
      </c>
      <c r="P87" s="224">
        <f t="shared" si="18"/>
        <v>0</v>
      </c>
      <c r="Q87" s="224">
        <f t="shared" si="18"/>
        <v>0</v>
      </c>
      <c r="R87" s="224">
        <f t="shared" si="18"/>
        <v>0</v>
      </c>
      <c r="S87" s="224">
        <f t="shared" si="18"/>
        <v>0</v>
      </c>
      <c r="T87" s="224">
        <f t="shared" si="18"/>
        <v>0</v>
      </c>
      <c r="U87" s="224">
        <f t="shared" si="18"/>
        <v>0</v>
      </c>
      <c r="V87" s="224">
        <f t="shared" si="18"/>
        <v>0</v>
      </c>
      <c r="W87" s="224">
        <f>SUM(W85:W86)</f>
        <v>271875.2</v>
      </c>
      <c r="X87" s="224">
        <f>C87-W87</f>
        <v>0</v>
      </c>
      <c r="Y87" s="224"/>
      <c r="Z87" s="224"/>
      <c r="AA87" s="53">
        <f>E87+F87+G87+H87+I87+K87+M87+O87+Q87+S87+U87+W87+V87+X87</f>
        <v>271875.2</v>
      </c>
      <c r="AB87" s="52">
        <f>AA87-C87</f>
        <v>0</v>
      </c>
      <c r="AC87" s="52"/>
      <c r="AD87" s="52"/>
    </row>
    <row r="88" spans="1:31" ht="12.75" customHeight="1">
      <c r="A88" s="259" t="s">
        <v>69</v>
      </c>
      <c r="B88" s="259"/>
      <c r="C88" s="234">
        <f>C61+C87+C43+C67+C76+C83</f>
        <v>19212793.448999997</v>
      </c>
      <c r="D88" s="234">
        <f aca="true" t="shared" si="19" ref="D88:X88">D61+D87+D43+D67+D76+D83</f>
        <v>0</v>
      </c>
      <c r="E88" s="234">
        <f t="shared" si="19"/>
        <v>0</v>
      </c>
      <c r="F88" s="234">
        <f t="shared" si="19"/>
        <v>0</v>
      </c>
      <c r="G88" s="234">
        <f t="shared" si="19"/>
        <v>0</v>
      </c>
      <c r="H88" s="234">
        <f t="shared" si="19"/>
        <v>0</v>
      </c>
      <c r="I88" s="234">
        <f t="shared" si="19"/>
        <v>0</v>
      </c>
      <c r="J88" s="234">
        <f t="shared" si="19"/>
        <v>0</v>
      </c>
      <c r="K88" s="234">
        <f t="shared" si="19"/>
        <v>0</v>
      </c>
      <c r="L88" s="234">
        <f t="shared" si="19"/>
        <v>0</v>
      </c>
      <c r="M88" s="234">
        <f t="shared" si="19"/>
        <v>0</v>
      </c>
      <c r="N88" s="234">
        <f t="shared" si="19"/>
        <v>0</v>
      </c>
      <c r="O88" s="234">
        <f t="shared" si="19"/>
        <v>0</v>
      </c>
      <c r="P88" s="234">
        <f t="shared" si="19"/>
        <v>0</v>
      </c>
      <c r="Q88" s="234">
        <f t="shared" si="19"/>
        <v>0</v>
      </c>
      <c r="R88" s="234">
        <f t="shared" si="19"/>
        <v>0</v>
      </c>
      <c r="S88" s="234">
        <f t="shared" si="19"/>
        <v>0</v>
      </c>
      <c r="T88" s="234">
        <f t="shared" si="19"/>
        <v>0</v>
      </c>
      <c r="U88" s="234">
        <f t="shared" si="19"/>
        <v>0</v>
      </c>
      <c r="V88" s="234">
        <f t="shared" si="19"/>
        <v>0</v>
      </c>
      <c r="W88" s="234">
        <f>W61+W87+W43+W67+W76+W83</f>
        <v>19212793.448999997</v>
      </c>
      <c r="X88" s="234">
        <f t="shared" si="19"/>
        <v>0</v>
      </c>
      <c r="Y88" s="234"/>
      <c r="Z88" s="234"/>
      <c r="AA88" s="53"/>
      <c r="AB88" s="52"/>
      <c r="AC88" s="10"/>
      <c r="AD88" s="52"/>
      <c r="AE88" s="9"/>
    </row>
    <row r="89" spans="1:31" ht="12.75" customHeight="1">
      <c r="A89" s="328" t="s">
        <v>349</v>
      </c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243"/>
      <c r="Z89" s="243"/>
      <c r="AA89" s="53"/>
      <c r="AB89" s="52"/>
      <c r="AC89" s="9"/>
      <c r="AD89" s="52"/>
      <c r="AE89" s="9"/>
    </row>
    <row r="90" spans="1:30" ht="12.75" customHeight="1">
      <c r="A90" s="259" t="s">
        <v>256</v>
      </c>
      <c r="B90" s="259"/>
      <c r="C90" s="33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53"/>
      <c r="AB90" s="52"/>
      <c r="AC90" s="52"/>
      <c r="AD90" s="52"/>
    </row>
    <row r="91" spans="1:30" ht="12.75" customHeight="1">
      <c r="A91" s="54">
        <f>A86+1</f>
        <v>46</v>
      </c>
      <c r="B91" s="22" t="s">
        <v>135</v>
      </c>
      <c r="C91" s="224">
        <f>D91+K91+M91+O91+Q91+S91+U91+V91+W91+X91</f>
        <v>149610.6</v>
      </c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>
        <f>Y91</f>
        <v>149610.6</v>
      </c>
      <c r="X91" s="102"/>
      <c r="Y91" s="102">
        <v>149610.6</v>
      </c>
      <c r="Z91" s="102" t="s">
        <v>93</v>
      </c>
      <c r="AA91" s="53"/>
      <c r="AB91" s="52"/>
      <c r="AC91" s="52"/>
      <c r="AD91" s="52"/>
    </row>
    <row r="92" spans="1:30" ht="12.75" customHeight="1">
      <c r="A92" s="54">
        <f>A91+1</f>
        <v>47</v>
      </c>
      <c r="B92" s="22" t="s">
        <v>136</v>
      </c>
      <c r="C92" s="224">
        <f>D92+K92+M92+O92+Q92+S92+U92+V92+W92+X92</f>
        <v>91806.51</v>
      </c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>
        <f>Y92</f>
        <v>91806.51</v>
      </c>
      <c r="X92" s="102"/>
      <c r="Y92" s="102">
        <v>91806.51</v>
      </c>
      <c r="Z92" s="102" t="s">
        <v>263</v>
      </c>
      <c r="AA92" s="53"/>
      <c r="AB92" s="52"/>
      <c r="AC92" s="52"/>
      <c r="AD92" s="52"/>
    </row>
    <row r="93" spans="1:30" ht="12.75" customHeight="1">
      <c r="A93" s="54">
        <f>A92+1</f>
        <v>48</v>
      </c>
      <c r="B93" s="22" t="s">
        <v>137</v>
      </c>
      <c r="C93" s="224">
        <f>D93+K93+M93+O93+Q93+S93+U93+V93+W93+X93</f>
        <v>91304.05</v>
      </c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>
        <f>Y93</f>
        <v>91304.05</v>
      </c>
      <c r="X93" s="102"/>
      <c r="Y93" s="102">
        <v>91304.05</v>
      </c>
      <c r="Z93" s="102" t="s">
        <v>263</v>
      </c>
      <c r="AA93" s="53"/>
      <c r="AB93" s="52"/>
      <c r="AC93" s="52"/>
      <c r="AD93" s="52"/>
    </row>
    <row r="94" spans="1:30" ht="12.75" customHeight="1">
      <c r="A94" s="274" t="s">
        <v>60</v>
      </c>
      <c r="B94" s="274"/>
      <c r="C94" s="102">
        <f>SUM(C91:C93)</f>
        <v>332721.16</v>
      </c>
      <c r="D94" s="102">
        <f aca="true" t="shared" si="20" ref="D94:X94">SUM(D91:D93)</f>
        <v>0</v>
      </c>
      <c r="E94" s="102">
        <f t="shared" si="20"/>
        <v>0</v>
      </c>
      <c r="F94" s="102">
        <f t="shared" si="20"/>
        <v>0</v>
      </c>
      <c r="G94" s="102">
        <f t="shared" si="20"/>
        <v>0</v>
      </c>
      <c r="H94" s="102">
        <f t="shared" si="20"/>
        <v>0</v>
      </c>
      <c r="I94" s="102">
        <f t="shared" si="20"/>
        <v>0</v>
      </c>
      <c r="J94" s="102">
        <f t="shared" si="20"/>
        <v>0</v>
      </c>
      <c r="K94" s="102">
        <f t="shared" si="20"/>
        <v>0</v>
      </c>
      <c r="L94" s="102">
        <f t="shared" si="20"/>
        <v>0</v>
      </c>
      <c r="M94" s="102">
        <f t="shared" si="20"/>
        <v>0</v>
      </c>
      <c r="N94" s="102">
        <f t="shared" si="20"/>
        <v>0</v>
      </c>
      <c r="O94" s="102">
        <f t="shared" si="20"/>
        <v>0</v>
      </c>
      <c r="P94" s="102">
        <f t="shared" si="20"/>
        <v>0</v>
      </c>
      <c r="Q94" s="102">
        <f t="shared" si="20"/>
        <v>0</v>
      </c>
      <c r="R94" s="102">
        <f t="shared" si="20"/>
        <v>0</v>
      </c>
      <c r="S94" s="102">
        <f t="shared" si="20"/>
        <v>0</v>
      </c>
      <c r="T94" s="102">
        <f t="shared" si="20"/>
        <v>0</v>
      </c>
      <c r="U94" s="102">
        <f t="shared" si="20"/>
        <v>0</v>
      </c>
      <c r="V94" s="102">
        <f t="shared" si="20"/>
        <v>0</v>
      </c>
      <c r="W94" s="102">
        <f t="shared" si="20"/>
        <v>332721.16</v>
      </c>
      <c r="X94" s="102">
        <f t="shared" si="20"/>
        <v>0</v>
      </c>
      <c r="Y94" s="102"/>
      <c r="Z94" s="102"/>
      <c r="AA94" s="53"/>
      <c r="AB94" s="52"/>
      <c r="AC94" s="52"/>
      <c r="AD94" s="52"/>
    </row>
    <row r="95" spans="1:31" ht="12.75" customHeight="1">
      <c r="A95" s="259" t="s">
        <v>111</v>
      </c>
      <c r="B95" s="259"/>
      <c r="C95" s="259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234"/>
      <c r="Z95" s="234"/>
      <c r="AA95" s="53"/>
      <c r="AB95" s="52"/>
      <c r="AC95" s="9"/>
      <c r="AD95" s="52"/>
      <c r="AE95" s="9"/>
    </row>
    <row r="96" spans="1:31" ht="12.75" customHeight="1">
      <c r="A96" s="54">
        <f>A93+1</f>
        <v>49</v>
      </c>
      <c r="B96" s="23" t="s">
        <v>112</v>
      </c>
      <c r="C96" s="224">
        <f>D96+K96+M96+O96+Q96+S96+U96+V96+W96+X96</f>
        <v>700257.37</v>
      </c>
      <c r="D96" s="234"/>
      <c r="E96" s="234"/>
      <c r="F96" s="234"/>
      <c r="G96" s="234"/>
      <c r="H96" s="234"/>
      <c r="I96" s="234"/>
      <c r="J96" s="208"/>
      <c r="K96" s="224"/>
      <c r="L96" s="234"/>
      <c r="M96" s="234"/>
      <c r="N96" s="234"/>
      <c r="O96" s="234"/>
      <c r="P96" s="234"/>
      <c r="Q96" s="102"/>
      <c r="R96" s="234"/>
      <c r="S96" s="234"/>
      <c r="T96" s="234"/>
      <c r="U96" s="234"/>
      <c r="V96" s="234"/>
      <c r="W96" s="224">
        <v>700257.37</v>
      </c>
      <c r="X96" s="234"/>
      <c r="Y96" s="102">
        <f>525521.53+587652.94</f>
        <v>1113174.47</v>
      </c>
      <c r="Z96" s="102" t="s">
        <v>293</v>
      </c>
      <c r="AA96" s="53"/>
      <c r="AB96" s="52"/>
      <c r="AC96" s="9"/>
      <c r="AD96" s="52"/>
      <c r="AE96" s="9"/>
    </row>
    <row r="97" spans="1:31" ht="15" customHeight="1">
      <c r="A97" s="54">
        <f>A96+1</f>
        <v>50</v>
      </c>
      <c r="B97" s="23" t="s">
        <v>113</v>
      </c>
      <c r="C97" s="224">
        <f>D97+K97+M97+O97+Q97+S97+U97+V97+W97+X97</f>
        <v>1651465.17</v>
      </c>
      <c r="D97" s="234"/>
      <c r="E97" s="234"/>
      <c r="F97" s="234"/>
      <c r="G97" s="234"/>
      <c r="H97" s="234"/>
      <c r="I97" s="234"/>
      <c r="J97" s="208"/>
      <c r="K97" s="224"/>
      <c r="L97" s="234"/>
      <c r="M97" s="234"/>
      <c r="N97" s="234"/>
      <c r="O97" s="234"/>
      <c r="P97" s="234"/>
      <c r="Q97" s="234"/>
      <c r="R97" s="234"/>
      <c r="S97" s="234"/>
      <c r="T97" s="234"/>
      <c r="U97" s="234"/>
      <c r="V97" s="234"/>
      <c r="W97" s="224">
        <v>1651465.17</v>
      </c>
      <c r="X97" s="234"/>
      <c r="Y97" s="36">
        <v>928988.11</v>
      </c>
      <c r="Z97" s="102" t="s">
        <v>292</v>
      </c>
      <c r="AA97" s="53"/>
      <c r="AB97" s="52"/>
      <c r="AC97" s="9"/>
      <c r="AD97" s="52"/>
      <c r="AE97" s="9"/>
    </row>
    <row r="98" spans="1:31" ht="12.75" customHeight="1">
      <c r="A98" s="274" t="s">
        <v>60</v>
      </c>
      <c r="B98" s="274"/>
      <c r="C98" s="102">
        <f aca="true" t="shared" si="21" ref="C98:I98">SUM(C96:C97)</f>
        <v>2351722.54</v>
      </c>
      <c r="D98" s="102">
        <f t="shared" si="21"/>
        <v>0</v>
      </c>
      <c r="E98" s="102">
        <f t="shared" si="21"/>
        <v>0</v>
      </c>
      <c r="F98" s="102">
        <f t="shared" si="21"/>
        <v>0</v>
      </c>
      <c r="G98" s="102">
        <f t="shared" si="21"/>
        <v>0</v>
      </c>
      <c r="H98" s="102">
        <f t="shared" si="21"/>
        <v>0</v>
      </c>
      <c r="I98" s="102">
        <f t="shared" si="21"/>
        <v>0</v>
      </c>
      <c r="J98" s="102">
        <f aca="true" t="shared" si="22" ref="J98:X98">SUM(J96:J97)</f>
        <v>0</v>
      </c>
      <c r="K98" s="102">
        <f t="shared" si="22"/>
        <v>0</v>
      </c>
      <c r="L98" s="102">
        <f t="shared" si="22"/>
        <v>0</v>
      </c>
      <c r="M98" s="102">
        <f t="shared" si="22"/>
        <v>0</v>
      </c>
      <c r="N98" s="102">
        <f t="shared" si="22"/>
        <v>0</v>
      </c>
      <c r="O98" s="102">
        <f t="shared" si="22"/>
        <v>0</v>
      </c>
      <c r="P98" s="102">
        <f t="shared" si="22"/>
        <v>0</v>
      </c>
      <c r="Q98" s="102">
        <f t="shared" si="22"/>
        <v>0</v>
      </c>
      <c r="R98" s="102">
        <f t="shared" si="22"/>
        <v>0</v>
      </c>
      <c r="S98" s="102">
        <f t="shared" si="22"/>
        <v>0</v>
      </c>
      <c r="T98" s="102">
        <f t="shared" si="22"/>
        <v>0</v>
      </c>
      <c r="U98" s="102">
        <f t="shared" si="22"/>
        <v>0</v>
      </c>
      <c r="V98" s="102">
        <f t="shared" si="22"/>
        <v>0</v>
      </c>
      <c r="W98" s="102">
        <f t="shared" si="22"/>
        <v>2351722.54</v>
      </c>
      <c r="X98" s="102">
        <f t="shared" si="22"/>
        <v>0</v>
      </c>
      <c r="Y98" s="102"/>
      <c r="Z98" s="102"/>
      <c r="AA98" s="53">
        <f>E98+F98+G98+H98+I98+K98+M98+O98+Q98+S98+U98+W98+V98+X98</f>
        <v>2351722.54</v>
      </c>
      <c r="AB98" s="52">
        <f>AA98-C98</f>
        <v>0</v>
      </c>
      <c r="AC98" s="53"/>
      <c r="AD98" s="52"/>
      <c r="AE98" s="9"/>
    </row>
    <row r="99" spans="1:31" ht="12.75" customHeight="1">
      <c r="A99" s="259" t="s">
        <v>70</v>
      </c>
      <c r="B99" s="259"/>
      <c r="C99" s="259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234"/>
      <c r="Z99" s="234"/>
      <c r="AA99" s="53"/>
      <c r="AB99" s="52"/>
      <c r="AC99" s="9"/>
      <c r="AD99" s="52"/>
      <c r="AE99" s="9"/>
    </row>
    <row r="100" spans="1:31" ht="20.25" customHeight="1">
      <c r="A100" s="54">
        <f>A97+1</f>
        <v>51</v>
      </c>
      <c r="B100" s="38" t="s">
        <v>328</v>
      </c>
      <c r="C100" s="224">
        <f aca="true" t="shared" si="23" ref="C100:C117">D100+K100+M100+O100+Q100+S100+U100+V100+W100+X100</f>
        <v>1240419.03</v>
      </c>
      <c r="D100" s="234"/>
      <c r="E100" s="234"/>
      <c r="F100" s="234"/>
      <c r="G100" s="234"/>
      <c r="H100" s="234"/>
      <c r="I100" s="234"/>
      <c r="J100" s="102"/>
      <c r="K100" s="102"/>
      <c r="L100" s="102"/>
      <c r="M100" s="102"/>
      <c r="N100" s="234"/>
      <c r="O100" s="234"/>
      <c r="P100" s="102"/>
      <c r="Q100" s="102"/>
      <c r="R100" s="234"/>
      <c r="S100" s="234"/>
      <c r="T100" s="234"/>
      <c r="U100" s="234"/>
      <c r="V100" s="234"/>
      <c r="W100" s="102">
        <v>1240419.03</v>
      </c>
      <c r="X100" s="234"/>
      <c r="Y100" s="36">
        <v>1385943.06</v>
      </c>
      <c r="Z100" s="102" t="s">
        <v>324</v>
      </c>
      <c r="AA100" s="53">
        <f aca="true" t="shared" si="24" ref="AA100:AA117">W100-Y100</f>
        <v>-145524.03000000003</v>
      </c>
      <c r="AB100" s="52"/>
      <c r="AC100" s="9"/>
      <c r="AD100" s="52"/>
      <c r="AE100" s="9"/>
    </row>
    <row r="101" spans="1:31" ht="12.75" customHeight="1">
      <c r="A101" s="54">
        <f>A100+1</f>
        <v>52</v>
      </c>
      <c r="B101" s="38" t="s">
        <v>329</v>
      </c>
      <c r="C101" s="224">
        <f t="shared" si="23"/>
        <v>613738.8</v>
      </c>
      <c r="D101" s="234"/>
      <c r="E101" s="234"/>
      <c r="F101" s="234"/>
      <c r="G101" s="234"/>
      <c r="H101" s="234"/>
      <c r="I101" s="234"/>
      <c r="J101" s="102"/>
      <c r="K101" s="102"/>
      <c r="L101" s="102"/>
      <c r="M101" s="102"/>
      <c r="N101" s="234"/>
      <c r="O101" s="234"/>
      <c r="P101" s="102"/>
      <c r="Q101" s="102"/>
      <c r="R101" s="234"/>
      <c r="S101" s="234"/>
      <c r="T101" s="234"/>
      <c r="U101" s="234"/>
      <c r="V101" s="234"/>
      <c r="W101" s="102">
        <v>613738.8</v>
      </c>
      <c r="X101" s="234"/>
      <c r="Y101" s="36">
        <v>685741.68</v>
      </c>
      <c r="Z101" s="102" t="s">
        <v>270</v>
      </c>
      <c r="AA101" s="53">
        <f t="shared" si="24"/>
        <v>-72002.88</v>
      </c>
      <c r="AB101" s="52"/>
      <c r="AC101" s="9"/>
      <c r="AD101" s="52"/>
      <c r="AE101" s="9"/>
    </row>
    <row r="102" spans="1:31" ht="12.75" customHeight="1">
      <c r="A102" s="54">
        <f aca="true" t="shared" si="25" ref="A102:A117">A101+1</f>
        <v>53</v>
      </c>
      <c r="B102" s="39" t="s">
        <v>142</v>
      </c>
      <c r="C102" s="224">
        <f t="shared" si="23"/>
        <v>307306.73</v>
      </c>
      <c r="D102" s="234"/>
      <c r="E102" s="102"/>
      <c r="F102" s="234"/>
      <c r="G102" s="234"/>
      <c r="H102" s="234"/>
      <c r="I102" s="234"/>
      <c r="J102" s="102"/>
      <c r="K102" s="102"/>
      <c r="L102" s="102"/>
      <c r="M102" s="102"/>
      <c r="N102" s="234"/>
      <c r="O102" s="234"/>
      <c r="P102" s="102"/>
      <c r="Q102" s="102"/>
      <c r="R102" s="234"/>
      <c r="S102" s="234"/>
      <c r="T102" s="234"/>
      <c r="U102" s="234"/>
      <c r="V102" s="234"/>
      <c r="W102" s="102">
        <v>307306.73</v>
      </c>
      <c r="X102" s="234"/>
      <c r="Y102" s="36">
        <v>307306.73</v>
      </c>
      <c r="Z102" s="102" t="s">
        <v>93</v>
      </c>
      <c r="AA102" s="53">
        <f t="shared" si="24"/>
        <v>0</v>
      </c>
      <c r="AB102" s="52"/>
      <c r="AC102" s="9"/>
      <c r="AD102" s="52"/>
      <c r="AE102" s="9"/>
    </row>
    <row r="103" spans="1:31" ht="17.25" customHeight="1">
      <c r="A103" s="54">
        <f t="shared" si="25"/>
        <v>54</v>
      </c>
      <c r="B103" s="40" t="s">
        <v>143</v>
      </c>
      <c r="C103" s="224">
        <f t="shared" si="23"/>
        <v>520822.84</v>
      </c>
      <c r="D103" s="234"/>
      <c r="E103" s="102"/>
      <c r="F103" s="102"/>
      <c r="G103" s="102"/>
      <c r="H103" s="102"/>
      <c r="I103" s="102"/>
      <c r="J103" s="102"/>
      <c r="K103" s="102"/>
      <c r="L103" s="102"/>
      <c r="M103" s="102"/>
      <c r="N103" s="224"/>
      <c r="O103" s="102"/>
      <c r="P103" s="102"/>
      <c r="Q103" s="102"/>
      <c r="R103" s="102"/>
      <c r="S103" s="102"/>
      <c r="T103" s="102"/>
      <c r="U103" s="102"/>
      <c r="V103" s="234"/>
      <c r="W103" s="102">
        <v>520822.84</v>
      </c>
      <c r="X103" s="224"/>
      <c r="Y103" s="36">
        <v>520822.84</v>
      </c>
      <c r="Z103" s="102" t="s">
        <v>93</v>
      </c>
      <c r="AA103" s="53">
        <f t="shared" si="24"/>
        <v>0</v>
      </c>
      <c r="AB103" s="52"/>
      <c r="AC103" s="53"/>
      <c r="AD103" s="52"/>
      <c r="AE103" s="9"/>
    </row>
    <row r="104" spans="1:31" ht="12.75" customHeight="1">
      <c r="A104" s="54">
        <f>A103+1</f>
        <v>55</v>
      </c>
      <c r="B104" s="38" t="s">
        <v>144</v>
      </c>
      <c r="C104" s="224">
        <f t="shared" si="23"/>
        <v>410952.82</v>
      </c>
      <c r="D104" s="234"/>
      <c r="E104" s="102"/>
      <c r="F104" s="102"/>
      <c r="G104" s="102"/>
      <c r="H104" s="102"/>
      <c r="I104" s="102"/>
      <c r="J104" s="102"/>
      <c r="K104" s="102"/>
      <c r="L104" s="102"/>
      <c r="M104" s="102"/>
      <c r="N104" s="224"/>
      <c r="O104" s="102"/>
      <c r="P104" s="102"/>
      <c r="Q104" s="102"/>
      <c r="R104" s="102"/>
      <c r="S104" s="102"/>
      <c r="T104" s="102"/>
      <c r="U104" s="102"/>
      <c r="V104" s="234"/>
      <c r="W104" s="102">
        <v>410952.82</v>
      </c>
      <c r="X104" s="224"/>
      <c r="Y104" s="36">
        <v>459165.16</v>
      </c>
      <c r="Z104" s="102" t="s">
        <v>270</v>
      </c>
      <c r="AA104" s="53">
        <f t="shared" si="24"/>
        <v>-48212.33999999997</v>
      </c>
      <c r="AB104" s="52"/>
      <c r="AC104" s="53"/>
      <c r="AD104" s="52"/>
      <c r="AE104" s="9"/>
    </row>
    <row r="105" spans="1:30" ht="18" customHeight="1">
      <c r="A105" s="54">
        <f t="shared" si="25"/>
        <v>56</v>
      </c>
      <c r="B105" s="38" t="s">
        <v>145</v>
      </c>
      <c r="C105" s="224">
        <f t="shared" si="23"/>
        <v>362185.49</v>
      </c>
      <c r="D105" s="234"/>
      <c r="E105" s="102"/>
      <c r="F105" s="102"/>
      <c r="G105" s="102"/>
      <c r="H105" s="102"/>
      <c r="I105" s="102"/>
      <c r="J105" s="102"/>
      <c r="K105" s="102"/>
      <c r="L105" s="102"/>
      <c r="M105" s="102"/>
      <c r="N105" s="224"/>
      <c r="O105" s="102"/>
      <c r="P105" s="102"/>
      <c r="Q105" s="102"/>
      <c r="R105" s="102"/>
      <c r="S105" s="102"/>
      <c r="T105" s="102"/>
      <c r="U105" s="102"/>
      <c r="V105" s="234"/>
      <c r="W105" s="102">
        <v>362185.49</v>
      </c>
      <c r="X105" s="224"/>
      <c r="Y105" s="36">
        <v>364005.52</v>
      </c>
      <c r="Z105" s="102" t="s">
        <v>93</v>
      </c>
      <c r="AA105" s="53">
        <f t="shared" si="24"/>
        <v>-1820.030000000028</v>
      </c>
      <c r="AB105" s="52"/>
      <c r="AC105" s="52"/>
      <c r="AD105" s="52"/>
    </row>
    <row r="106" spans="1:30" ht="12.75">
      <c r="A106" s="54">
        <f t="shared" si="25"/>
        <v>57</v>
      </c>
      <c r="B106" s="38" t="s">
        <v>146</v>
      </c>
      <c r="C106" s="224">
        <f t="shared" si="23"/>
        <v>362185.49</v>
      </c>
      <c r="D106" s="234"/>
      <c r="E106" s="102"/>
      <c r="F106" s="102"/>
      <c r="G106" s="102"/>
      <c r="H106" s="102"/>
      <c r="I106" s="102"/>
      <c r="J106" s="102"/>
      <c r="K106" s="102"/>
      <c r="L106" s="102"/>
      <c r="M106" s="102"/>
      <c r="N106" s="224"/>
      <c r="O106" s="102"/>
      <c r="P106" s="102"/>
      <c r="Q106" s="102"/>
      <c r="R106" s="102"/>
      <c r="S106" s="102"/>
      <c r="T106" s="102"/>
      <c r="U106" s="102"/>
      <c r="V106" s="234"/>
      <c r="W106" s="102">
        <v>362185.49</v>
      </c>
      <c r="X106" s="224"/>
      <c r="Y106" s="36">
        <v>364005.52</v>
      </c>
      <c r="Z106" s="102" t="s">
        <v>93</v>
      </c>
      <c r="AA106" s="53">
        <f t="shared" si="24"/>
        <v>-1820.030000000028</v>
      </c>
      <c r="AB106" s="52"/>
      <c r="AC106" s="52"/>
      <c r="AD106" s="52"/>
    </row>
    <row r="107" spans="1:30" ht="12.75" customHeight="1">
      <c r="A107" s="54">
        <f t="shared" si="25"/>
        <v>58</v>
      </c>
      <c r="B107" s="40" t="s">
        <v>147</v>
      </c>
      <c r="C107" s="224">
        <f t="shared" si="23"/>
        <v>515416.57</v>
      </c>
      <c r="D107" s="234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234"/>
      <c r="U107" s="234"/>
      <c r="V107" s="224"/>
      <c r="W107" s="102">
        <v>515416.57</v>
      </c>
      <c r="X107" s="224"/>
      <c r="Y107" s="36">
        <v>518006.6</v>
      </c>
      <c r="Z107" s="102" t="s">
        <v>93</v>
      </c>
      <c r="AA107" s="53">
        <f t="shared" si="24"/>
        <v>-2590.0299999999697</v>
      </c>
      <c r="AB107" s="52"/>
      <c r="AC107" s="9"/>
      <c r="AD107" s="52"/>
    </row>
    <row r="108" spans="1:30" ht="12.75" customHeight="1">
      <c r="A108" s="54">
        <f t="shared" si="25"/>
        <v>59</v>
      </c>
      <c r="B108" s="40" t="s">
        <v>148</v>
      </c>
      <c r="C108" s="224">
        <f t="shared" si="23"/>
        <v>697860.31</v>
      </c>
      <c r="D108" s="234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>
        <v>697860.31</v>
      </c>
      <c r="X108" s="102"/>
      <c r="Y108" s="102">
        <f>240409.34+460957.81</f>
        <v>701367.15</v>
      </c>
      <c r="Z108" s="102" t="s">
        <v>266</v>
      </c>
      <c r="AA108" s="53">
        <f t="shared" si="24"/>
        <v>-3506.8399999999674</v>
      </c>
      <c r="AB108" s="52"/>
      <c r="AC108" s="9"/>
      <c r="AD108" s="52"/>
    </row>
    <row r="109" spans="1:30" ht="12.75">
      <c r="A109" s="54">
        <f t="shared" si="25"/>
        <v>60</v>
      </c>
      <c r="B109" s="38" t="s">
        <v>149</v>
      </c>
      <c r="C109" s="224">
        <f t="shared" si="23"/>
        <v>244633.09</v>
      </c>
      <c r="D109" s="234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234"/>
      <c r="W109" s="102">
        <v>244633.09</v>
      </c>
      <c r="X109" s="102"/>
      <c r="Y109" s="36">
        <v>244633.09</v>
      </c>
      <c r="Z109" s="102" t="s">
        <v>93</v>
      </c>
      <c r="AA109" s="53">
        <f t="shared" si="24"/>
        <v>0</v>
      </c>
      <c r="AB109" s="52"/>
      <c r="AC109" s="52"/>
      <c r="AD109" s="52"/>
    </row>
    <row r="110" spans="1:30" ht="12.75" customHeight="1">
      <c r="A110" s="54">
        <f t="shared" si="25"/>
        <v>61</v>
      </c>
      <c r="B110" s="38" t="s">
        <v>150</v>
      </c>
      <c r="C110" s="224">
        <f t="shared" si="23"/>
        <v>640524.65</v>
      </c>
      <c r="D110" s="234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234"/>
      <c r="W110" s="102">
        <v>640524.65</v>
      </c>
      <c r="X110" s="102"/>
      <c r="Y110" s="36">
        <v>715670.01</v>
      </c>
      <c r="Z110" s="102" t="s">
        <v>270</v>
      </c>
      <c r="AA110" s="53">
        <f t="shared" si="24"/>
        <v>-75145.35999999999</v>
      </c>
      <c r="AB110" s="52"/>
      <c r="AC110" s="9"/>
      <c r="AD110" s="52"/>
    </row>
    <row r="111" spans="1:30" ht="12.75" customHeight="1">
      <c r="A111" s="54">
        <f t="shared" si="25"/>
        <v>62</v>
      </c>
      <c r="B111" s="38" t="s">
        <v>151</v>
      </c>
      <c r="C111" s="224">
        <f t="shared" si="23"/>
        <v>203484.9</v>
      </c>
      <c r="D111" s="234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224"/>
      <c r="V111" s="234"/>
      <c r="W111" s="102">
        <v>203484.9</v>
      </c>
      <c r="X111" s="224"/>
      <c r="Y111" s="36">
        <v>227357.43</v>
      </c>
      <c r="Z111" s="102" t="s">
        <v>270</v>
      </c>
      <c r="AA111" s="53">
        <f t="shared" si="24"/>
        <v>-23872.53</v>
      </c>
      <c r="AB111" s="52"/>
      <c r="AC111" s="9"/>
      <c r="AD111" s="52"/>
    </row>
    <row r="112" spans="1:30" ht="12.75" customHeight="1">
      <c r="A112" s="54">
        <f t="shared" si="25"/>
        <v>63</v>
      </c>
      <c r="B112" s="38" t="s">
        <v>152</v>
      </c>
      <c r="C112" s="224">
        <f t="shared" si="23"/>
        <v>412389.85</v>
      </c>
      <c r="D112" s="234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234"/>
      <c r="W112" s="102">
        <v>412389.85</v>
      </c>
      <c r="X112" s="102"/>
      <c r="Y112" s="36">
        <v>460770.79</v>
      </c>
      <c r="Z112" s="102" t="s">
        <v>270</v>
      </c>
      <c r="AA112" s="53">
        <f t="shared" si="24"/>
        <v>-48380.94</v>
      </c>
      <c r="AB112" s="52"/>
      <c r="AC112" s="9"/>
      <c r="AD112" s="52"/>
    </row>
    <row r="113" spans="1:30" ht="12.75" customHeight="1">
      <c r="A113" s="54">
        <f t="shared" si="25"/>
        <v>64</v>
      </c>
      <c r="B113" s="40" t="s">
        <v>153</v>
      </c>
      <c r="C113" s="224">
        <f t="shared" si="23"/>
        <v>372033.42000000004</v>
      </c>
      <c r="D113" s="234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234"/>
      <c r="W113" s="102">
        <v>372033.42000000004</v>
      </c>
      <c r="X113" s="102"/>
      <c r="Y113" s="102">
        <f>140018.23+233884.7</f>
        <v>373902.93000000005</v>
      </c>
      <c r="Z113" s="102" t="s">
        <v>266</v>
      </c>
      <c r="AA113" s="53">
        <f t="shared" si="24"/>
        <v>-1869.5100000000093</v>
      </c>
      <c r="AB113" s="52"/>
      <c r="AC113" s="9"/>
      <c r="AD113" s="52"/>
    </row>
    <row r="114" spans="1:31" ht="12.75" customHeight="1">
      <c r="A114" s="54">
        <f t="shared" si="25"/>
        <v>65</v>
      </c>
      <c r="B114" s="38" t="s">
        <v>154</v>
      </c>
      <c r="C114" s="224">
        <f t="shared" si="23"/>
        <v>304180.55</v>
      </c>
      <c r="D114" s="234"/>
      <c r="E114" s="234"/>
      <c r="F114" s="234"/>
      <c r="G114" s="234"/>
      <c r="H114" s="234"/>
      <c r="I114" s="234"/>
      <c r="J114" s="102"/>
      <c r="K114" s="102"/>
      <c r="L114" s="102"/>
      <c r="M114" s="102"/>
      <c r="N114" s="234"/>
      <c r="O114" s="234"/>
      <c r="P114" s="102"/>
      <c r="Q114" s="102"/>
      <c r="R114" s="102"/>
      <c r="S114" s="102"/>
      <c r="T114" s="102"/>
      <c r="U114" s="102"/>
      <c r="V114" s="234"/>
      <c r="W114" s="102">
        <v>304180.55</v>
      </c>
      <c r="X114" s="234"/>
      <c r="Y114" s="36">
        <v>305709.1</v>
      </c>
      <c r="Z114" s="102" t="s">
        <v>93</v>
      </c>
      <c r="AA114" s="53">
        <f t="shared" si="24"/>
        <v>-1528.5499999999884</v>
      </c>
      <c r="AB114" s="52"/>
      <c r="AC114" s="9"/>
      <c r="AD114" s="52"/>
      <c r="AE114" s="9"/>
    </row>
    <row r="115" spans="1:31" ht="12.75" customHeight="1">
      <c r="A115" s="54">
        <f t="shared" si="25"/>
        <v>66</v>
      </c>
      <c r="B115" s="38" t="s">
        <v>155</v>
      </c>
      <c r="C115" s="224">
        <f t="shared" si="23"/>
        <v>447417.70999999996</v>
      </c>
      <c r="D115" s="234"/>
      <c r="E115" s="234"/>
      <c r="F115" s="234"/>
      <c r="G115" s="234"/>
      <c r="H115" s="234"/>
      <c r="I115" s="234"/>
      <c r="J115" s="102"/>
      <c r="K115" s="102"/>
      <c r="L115" s="102"/>
      <c r="M115" s="102"/>
      <c r="N115" s="234"/>
      <c r="O115" s="234"/>
      <c r="P115" s="102"/>
      <c r="Q115" s="102"/>
      <c r="R115" s="102"/>
      <c r="S115" s="102"/>
      <c r="T115" s="102"/>
      <c r="U115" s="102"/>
      <c r="V115" s="234"/>
      <c r="W115" s="102">
        <v>447417.70999999996</v>
      </c>
      <c r="X115" s="234"/>
      <c r="Y115" s="102">
        <f>167729.81+281936.23</f>
        <v>449666.04</v>
      </c>
      <c r="Z115" s="102" t="s">
        <v>266</v>
      </c>
      <c r="AA115" s="53">
        <f t="shared" si="24"/>
        <v>-2248.3300000000163</v>
      </c>
      <c r="AB115" s="52"/>
      <c r="AC115" s="9"/>
      <c r="AD115" s="52"/>
      <c r="AE115" s="9"/>
    </row>
    <row r="116" spans="1:30" ht="12.75">
      <c r="A116" s="54">
        <f t="shared" si="25"/>
        <v>67</v>
      </c>
      <c r="B116" s="38" t="s">
        <v>156</v>
      </c>
      <c r="C116" s="224">
        <f t="shared" si="23"/>
        <v>454956.15</v>
      </c>
      <c r="D116" s="234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234"/>
      <c r="W116" s="102">
        <v>454956.15</v>
      </c>
      <c r="X116" s="102"/>
      <c r="Y116" s="102">
        <f>170500.96+286741.4</f>
        <v>457242.36</v>
      </c>
      <c r="Z116" s="102" t="s">
        <v>266</v>
      </c>
      <c r="AA116" s="53">
        <f t="shared" si="24"/>
        <v>-2286.2099999999627</v>
      </c>
      <c r="AB116" s="52"/>
      <c r="AC116" s="52"/>
      <c r="AD116" s="52"/>
    </row>
    <row r="117" spans="1:30" ht="15" customHeight="1">
      <c r="A117" s="54">
        <f t="shared" si="25"/>
        <v>68</v>
      </c>
      <c r="B117" s="38" t="s">
        <v>157</v>
      </c>
      <c r="C117" s="224">
        <f t="shared" si="23"/>
        <v>339598.28</v>
      </c>
      <c r="D117" s="234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234"/>
      <c r="W117" s="102">
        <v>339598.28</v>
      </c>
      <c r="X117" s="102"/>
      <c r="Y117" s="102">
        <f>127860.29+213444.51</f>
        <v>341304.8</v>
      </c>
      <c r="Z117" s="102" t="s">
        <v>266</v>
      </c>
      <c r="AA117" s="53">
        <f t="shared" si="24"/>
        <v>-1706.5199999999604</v>
      </c>
      <c r="AB117" s="52"/>
      <c r="AC117" s="52"/>
      <c r="AD117" s="52"/>
    </row>
    <row r="118" spans="1:30" ht="12.75" customHeight="1">
      <c r="A118" s="274" t="s">
        <v>60</v>
      </c>
      <c r="B118" s="274"/>
      <c r="C118" s="102">
        <f aca="true" t="shared" si="26" ref="C118:X118">SUM(C100:C117)</f>
        <v>8450106.68</v>
      </c>
      <c r="D118" s="102">
        <f t="shared" si="26"/>
        <v>0</v>
      </c>
      <c r="E118" s="102">
        <f t="shared" si="26"/>
        <v>0</v>
      </c>
      <c r="F118" s="102">
        <f t="shared" si="26"/>
        <v>0</v>
      </c>
      <c r="G118" s="102">
        <f t="shared" si="26"/>
        <v>0</v>
      </c>
      <c r="H118" s="102">
        <f t="shared" si="26"/>
        <v>0</v>
      </c>
      <c r="I118" s="102">
        <f t="shared" si="26"/>
        <v>0</v>
      </c>
      <c r="J118" s="102">
        <f t="shared" si="26"/>
        <v>0</v>
      </c>
      <c r="K118" s="102">
        <f t="shared" si="26"/>
        <v>0</v>
      </c>
      <c r="L118" s="102">
        <f t="shared" si="26"/>
        <v>0</v>
      </c>
      <c r="M118" s="102">
        <f t="shared" si="26"/>
        <v>0</v>
      </c>
      <c r="N118" s="102">
        <f t="shared" si="26"/>
        <v>0</v>
      </c>
      <c r="O118" s="102">
        <f t="shared" si="26"/>
        <v>0</v>
      </c>
      <c r="P118" s="102">
        <f t="shared" si="26"/>
        <v>0</v>
      </c>
      <c r="Q118" s="102">
        <f t="shared" si="26"/>
        <v>0</v>
      </c>
      <c r="R118" s="102">
        <f t="shared" si="26"/>
        <v>0</v>
      </c>
      <c r="S118" s="102">
        <f t="shared" si="26"/>
        <v>0</v>
      </c>
      <c r="T118" s="102">
        <f t="shared" si="26"/>
        <v>0</v>
      </c>
      <c r="U118" s="102">
        <f t="shared" si="26"/>
        <v>0</v>
      </c>
      <c r="V118" s="102">
        <f t="shared" si="26"/>
        <v>0</v>
      </c>
      <c r="W118" s="102">
        <f t="shared" si="26"/>
        <v>8450106.68</v>
      </c>
      <c r="X118" s="102">
        <f t="shared" si="26"/>
        <v>0</v>
      </c>
      <c r="Y118" s="102"/>
      <c r="Z118" s="102"/>
      <c r="AA118" s="53">
        <f>E118+F118+G118+H118+I118+K118+M118+O118+Q118+S118+U118+W118+V118+X118</f>
        <v>8450106.68</v>
      </c>
      <c r="AB118" s="52">
        <f>AA118-C118</f>
        <v>0</v>
      </c>
      <c r="AC118" s="52"/>
      <c r="AD118" s="52"/>
    </row>
    <row r="119" spans="1:31" ht="12.75" customHeight="1">
      <c r="A119" s="259" t="s">
        <v>71</v>
      </c>
      <c r="B119" s="259"/>
      <c r="C119" s="234">
        <f>C98+C118+C94</f>
        <v>11134550.379999999</v>
      </c>
      <c r="D119" s="234">
        <f aca="true" t="shared" si="27" ref="D119:V119">D98+D118</f>
        <v>0</v>
      </c>
      <c r="E119" s="234">
        <f t="shared" si="27"/>
        <v>0</v>
      </c>
      <c r="F119" s="234">
        <f t="shared" si="27"/>
        <v>0</v>
      </c>
      <c r="G119" s="234">
        <f t="shared" si="27"/>
        <v>0</v>
      </c>
      <c r="H119" s="234">
        <f t="shared" si="27"/>
        <v>0</v>
      </c>
      <c r="I119" s="234">
        <f t="shared" si="27"/>
        <v>0</v>
      </c>
      <c r="J119" s="234">
        <f t="shared" si="27"/>
        <v>0</v>
      </c>
      <c r="K119" s="234">
        <f t="shared" si="27"/>
        <v>0</v>
      </c>
      <c r="L119" s="234">
        <f t="shared" si="27"/>
        <v>0</v>
      </c>
      <c r="M119" s="234">
        <f t="shared" si="27"/>
        <v>0</v>
      </c>
      <c r="N119" s="234">
        <f t="shared" si="27"/>
        <v>0</v>
      </c>
      <c r="O119" s="234">
        <f t="shared" si="27"/>
        <v>0</v>
      </c>
      <c r="P119" s="234">
        <f t="shared" si="27"/>
        <v>0</v>
      </c>
      <c r="Q119" s="234">
        <f t="shared" si="27"/>
        <v>0</v>
      </c>
      <c r="R119" s="234">
        <f t="shared" si="27"/>
        <v>0</v>
      </c>
      <c r="S119" s="234">
        <f t="shared" si="27"/>
        <v>0</v>
      </c>
      <c r="T119" s="234">
        <f t="shared" si="27"/>
        <v>0</v>
      </c>
      <c r="U119" s="234">
        <f t="shared" si="27"/>
        <v>0</v>
      </c>
      <c r="V119" s="234">
        <f t="shared" si="27"/>
        <v>0</v>
      </c>
      <c r="W119" s="234">
        <f>W98+W118+W94</f>
        <v>11134550.379999999</v>
      </c>
      <c r="X119" s="224">
        <f>C119-W119</f>
        <v>0</v>
      </c>
      <c r="Y119" s="234"/>
      <c r="Z119" s="234"/>
      <c r="AA119" s="53"/>
      <c r="AB119" s="52"/>
      <c r="AC119" s="10"/>
      <c r="AD119" s="52"/>
      <c r="AE119" s="9"/>
    </row>
    <row r="120" spans="1:31" ht="12.75" customHeight="1">
      <c r="A120" s="328" t="s">
        <v>350</v>
      </c>
      <c r="B120" s="328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243"/>
      <c r="Z120" s="243"/>
      <c r="AA120" s="53"/>
      <c r="AB120" s="52"/>
      <c r="AC120" s="10"/>
      <c r="AD120" s="52"/>
      <c r="AE120" s="9"/>
    </row>
    <row r="121" spans="1:31" ht="12.75" customHeight="1">
      <c r="A121" s="264" t="s">
        <v>257</v>
      </c>
      <c r="B121" s="265"/>
      <c r="C121" s="266"/>
      <c r="D121" s="232"/>
      <c r="E121" s="232"/>
      <c r="F121" s="232"/>
      <c r="G121" s="232"/>
      <c r="H121" s="232"/>
      <c r="I121" s="232"/>
      <c r="J121" s="232"/>
      <c r="K121" s="232"/>
      <c r="L121" s="232"/>
      <c r="M121" s="232"/>
      <c r="N121" s="232"/>
      <c r="O121" s="232"/>
      <c r="P121" s="232"/>
      <c r="Q121" s="232"/>
      <c r="R121" s="232"/>
      <c r="S121" s="232"/>
      <c r="T121" s="232"/>
      <c r="U121" s="232"/>
      <c r="V121" s="232"/>
      <c r="W121" s="232"/>
      <c r="X121" s="233"/>
      <c r="Y121" s="234"/>
      <c r="Z121" s="234"/>
      <c r="AA121" s="53"/>
      <c r="AB121" s="52"/>
      <c r="AC121" s="10"/>
      <c r="AD121" s="52"/>
      <c r="AE121" s="9"/>
    </row>
    <row r="122" spans="1:31" ht="12.75" customHeight="1">
      <c r="A122" s="54">
        <f>A117+1</f>
        <v>69</v>
      </c>
      <c r="B122" s="112" t="s">
        <v>205</v>
      </c>
      <c r="C122" s="224">
        <f>D122+K122+M122+O122+Q122+S122+U122+V122+W122+X122</f>
        <v>139506.75</v>
      </c>
      <c r="D122" s="232"/>
      <c r="E122" s="232"/>
      <c r="F122" s="232"/>
      <c r="G122" s="232"/>
      <c r="H122" s="232"/>
      <c r="I122" s="232"/>
      <c r="J122" s="232"/>
      <c r="K122" s="232"/>
      <c r="L122" s="102"/>
      <c r="M122" s="102"/>
      <c r="N122" s="234"/>
      <c r="O122" s="234"/>
      <c r="P122" s="234"/>
      <c r="Q122" s="234"/>
      <c r="R122" s="234"/>
      <c r="S122" s="234"/>
      <c r="T122" s="234"/>
      <c r="U122" s="234"/>
      <c r="V122" s="234"/>
      <c r="W122" s="102">
        <f>Y122</f>
        <v>139506.75</v>
      </c>
      <c r="X122" s="233"/>
      <c r="Y122" s="36">
        <v>139506.75</v>
      </c>
      <c r="Z122" s="102" t="s">
        <v>263</v>
      </c>
      <c r="AA122" s="53" t="s">
        <v>207</v>
      </c>
      <c r="AB122" s="52"/>
      <c r="AC122" s="10"/>
      <c r="AD122" s="52"/>
      <c r="AE122" s="9"/>
    </row>
    <row r="123" spans="1:31" ht="12.75" customHeight="1">
      <c r="A123" s="54">
        <f>A122+1</f>
        <v>70</v>
      </c>
      <c r="B123" s="112" t="s">
        <v>206</v>
      </c>
      <c r="C123" s="224">
        <f>D123+K123+M123+O123+Q123+S123+U123+V123+W123+X123</f>
        <v>186738.13</v>
      </c>
      <c r="D123" s="232"/>
      <c r="E123" s="232"/>
      <c r="F123" s="232"/>
      <c r="G123" s="232"/>
      <c r="H123" s="232"/>
      <c r="I123" s="232"/>
      <c r="J123" s="232"/>
      <c r="K123" s="232"/>
      <c r="L123" s="102"/>
      <c r="M123" s="102"/>
      <c r="N123" s="234"/>
      <c r="O123" s="234"/>
      <c r="P123" s="234"/>
      <c r="Q123" s="234"/>
      <c r="R123" s="234"/>
      <c r="S123" s="234"/>
      <c r="T123" s="234"/>
      <c r="U123" s="234"/>
      <c r="V123" s="234"/>
      <c r="W123" s="102">
        <f>Y123</f>
        <v>186738.13</v>
      </c>
      <c r="X123" s="233"/>
      <c r="Y123" s="36">
        <v>186738.13</v>
      </c>
      <c r="Z123" s="102" t="s">
        <v>263</v>
      </c>
      <c r="AA123" s="53"/>
      <c r="AB123" s="52"/>
      <c r="AC123" s="10"/>
      <c r="AD123" s="52"/>
      <c r="AE123" s="9"/>
    </row>
    <row r="124" spans="1:31" ht="12.75" customHeight="1">
      <c r="A124" s="274" t="s">
        <v>60</v>
      </c>
      <c r="B124" s="274"/>
      <c r="C124" s="102">
        <f>SUM(C122:C123)</f>
        <v>326244.88</v>
      </c>
      <c r="D124" s="102">
        <f aca="true" t="shared" si="28" ref="D124:W125">SUM(D122:D123)</f>
        <v>0</v>
      </c>
      <c r="E124" s="102">
        <f t="shared" si="28"/>
        <v>0</v>
      </c>
      <c r="F124" s="102">
        <f t="shared" si="28"/>
        <v>0</v>
      </c>
      <c r="G124" s="102">
        <f t="shared" si="28"/>
        <v>0</v>
      </c>
      <c r="H124" s="102">
        <f t="shared" si="28"/>
        <v>0</v>
      </c>
      <c r="I124" s="102">
        <f t="shared" si="28"/>
        <v>0</v>
      </c>
      <c r="J124" s="102">
        <f t="shared" si="28"/>
        <v>0</v>
      </c>
      <c r="K124" s="102">
        <f t="shared" si="28"/>
        <v>0</v>
      </c>
      <c r="L124" s="102">
        <f t="shared" si="28"/>
        <v>0</v>
      </c>
      <c r="M124" s="102">
        <f t="shared" si="28"/>
        <v>0</v>
      </c>
      <c r="N124" s="102">
        <f t="shared" si="28"/>
        <v>0</v>
      </c>
      <c r="O124" s="102">
        <f t="shared" si="28"/>
        <v>0</v>
      </c>
      <c r="P124" s="102">
        <f t="shared" si="28"/>
        <v>0</v>
      </c>
      <c r="Q124" s="102">
        <f t="shared" si="28"/>
        <v>0</v>
      </c>
      <c r="R124" s="102">
        <f t="shared" si="28"/>
        <v>0</v>
      </c>
      <c r="S124" s="102">
        <f t="shared" si="28"/>
        <v>0</v>
      </c>
      <c r="T124" s="102">
        <f t="shared" si="28"/>
        <v>0</v>
      </c>
      <c r="U124" s="102">
        <f t="shared" si="28"/>
        <v>0</v>
      </c>
      <c r="V124" s="102">
        <f t="shared" si="28"/>
        <v>0</v>
      </c>
      <c r="W124" s="102">
        <f t="shared" si="28"/>
        <v>326244.88</v>
      </c>
      <c r="X124" s="224">
        <f>C124-W124</f>
        <v>0</v>
      </c>
      <c r="Y124" s="102"/>
      <c r="Z124" s="102"/>
      <c r="AA124" s="53"/>
      <c r="AB124" s="52"/>
      <c r="AC124" s="10"/>
      <c r="AD124" s="52"/>
      <c r="AE124" s="9"/>
    </row>
    <row r="125" spans="1:31" ht="12.75" customHeight="1">
      <c r="A125" s="259" t="s">
        <v>258</v>
      </c>
      <c r="B125" s="259"/>
      <c r="C125" s="234">
        <f>C124</f>
        <v>326244.88</v>
      </c>
      <c r="D125" s="234">
        <f t="shared" si="28"/>
        <v>0</v>
      </c>
      <c r="E125" s="234">
        <f t="shared" si="28"/>
        <v>0</v>
      </c>
      <c r="F125" s="234">
        <f t="shared" si="28"/>
        <v>0</v>
      </c>
      <c r="G125" s="234">
        <f t="shared" si="28"/>
        <v>0</v>
      </c>
      <c r="H125" s="234">
        <f t="shared" si="28"/>
        <v>0</v>
      </c>
      <c r="I125" s="234">
        <f t="shared" si="28"/>
        <v>0</v>
      </c>
      <c r="J125" s="234">
        <f t="shared" si="28"/>
        <v>0</v>
      </c>
      <c r="K125" s="234">
        <f t="shared" si="28"/>
        <v>0</v>
      </c>
      <c r="L125" s="234">
        <f t="shared" si="28"/>
        <v>0</v>
      </c>
      <c r="M125" s="234">
        <f t="shared" si="28"/>
        <v>0</v>
      </c>
      <c r="N125" s="234">
        <f t="shared" si="28"/>
        <v>0</v>
      </c>
      <c r="O125" s="234">
        <f t="shared" si="28"/>
        <v>0</v>
      </c>
      <c r="P125" s="234">
        <f t="shared" si="28"/>
        <v>0</v>
      </c>
      <c r="Q125" s="234">
        <f t="shared" si="28"/>
        <v>0</v>
      </c>
      <c r="R125" s="234">
        <f t="shared" si="28"/>
        <v>0</v>
      </c>
      <c r="S125" s="234">
        <f t="shared" si="28"/>
        <v>0</v>
      </c>
      <c r="T125" s="234">
        <f t="shared" si="28"/>
        <v>0</v>
      </c>
      <c r="U125" s="234">
        <f t="shared" si="28"/>
        <v>0</v>
      </c>
      <c r="V125" s="234">
        <f t="shared" si="28"/>
        <v>0</v>
      </c>
      <c r="W125" s="234">
        <f>W124</f>
        <v>326244.88</v>
      </c>
      <c r="X125" s="233"/>
      <c r="Y125" s="234"/>
      <c r="Z125" s="234"/>
      <c r="AA125" s="53"/>
      <c r="AB125" s="52"/>
      <c r="AC125" s="10"/>
      <c r="AD125" s="52"/>
      <c r="AE125" s="9"/>
    </row>
    <row r="126" spans="1:30" ht="12.75" customHeight="1">
      <c r="A126" s="329" t="s">
        <v>72</v>
      </c>
      <c r="B126" s="330"/>
      <c r="C126" s="330"/>
      <c r="D126" s="330"/>
      <c r="E126" s="330"/>
      <c r="F126" s="330"/>
      <c r="G126" s="330"/>
      <c r="H126" s="330"/>
      <c r="I126" s="330"/>
      <c r="J126" s="330"/>
      <c r="K126" s="330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1"/>
      <c r="Y126" s="243"/>
      <c r="Z126" s="243"/>
      <c r="AA126" s="53"/>
      <c r="AB126" s="52"/>
      <c r="AD126" s="52"/>
    </row>
    <row r="127" spans="1:30" ht="12.75" customHeight="1">
      <c r="A127" s="264" t="s">
        <v>73</v>
      </c>
      <c r="B127" s="265"/>
      <c r="C127" s="266"/>
      <c r="D127" s="300"/>
      <c r="E127" s="301"/>
      <c r="F127" s="301"/>
      <c r="G127" s="301"/>
      <c r="H127" s="301"/>
      <c r="I127" s="301"/>
      <c r="J127" s="301"/>
      <c r="K127" s="301"/>
      <c r="L127" s="301"/>
      <c r="M127" s="301"/>
      <c r="N127" s="301"/>
      <c r="O127" s="301"/>
      <c r="P127" s="301"/>
      <c r="Q127" s="301"/>
      <c r="R127" s="301"/>
      <c r="S127" s="301"/>
      <c r="T127" s="301"/>
      <c r="U127" s="301"/>
      <c r="V127" s="301"/>
      <c r="W127" s="301"/>
      <c r="X127" s="302"/>
      <c r="Y127" s="234"/>
      <c r="Z127" s="234"/>
      <c r="AA127" s="53"/>
      <c r="AB127" s="52"/>
      <c r="AD127" s="52"/>
    </row>
    <row r="128" spans="1:30" ht="12.75" customHeight="1">
      <c r="A128" s="54">
        <f>A123+1</f>
        <v>71</v>
      </c>
      <c r="B128" s="27" t="s">
        <v>253</v>
      </c>
      <c r="C128" s="224">
        <f aca="true" t="shared" si="29" ref="C128:C133">D128+K128+M128+O128+Q128+S128+U128+V128+W128+X128</f>
        <v>221850.11</v>
      </c>
      <c r="D128" s="23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142"/>
      <c r="U128" s="197"/>
      <c r="V128" s="224"/>
      <c r="W128" s="224">
        <v>221850.11</v>
      </c>
      <c r="X128" s="224"/>
      <c r="Y128" s="84">
        <v>1103732.26</v>
      </c>
      <c r="Z128" s="224" t="s">
        <v>93</v>
      </c>
      <c r="AA128" s="53"/>
      <c r="AB128" s="52"/>
      <c r="AD128" s="52"/>
    </row>
    <row r="129" spans="1:30" ht="12.75" customHeight="1">
      <c r="A129" s="54">
        <f>A128+1</f>
        <v>72</v>
      </c>
      <c r="B129" s="27" t="s">
        <v>250</v>
      </c>
      <c r="C129" s="224">
        <f t="shared" si="29"/>
        <v>345573.88</v>
      </c>
      <c r="D129" s="23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142"/>
      <c r="U129" s="197"/>
      <c r="V129" s="224"/>
      <c r="W129" s="224">
        <v>345573.88</v>
      </c>
      <c r="X129" s="224"/>
      <c r="Y129" s="84">
        <v>914799.86</v>
      </c>
      <c r="Z129" s="224" t="s">
        <v>93</v>
      </c>
      <c r="AA129" s="53"/>
      <c r="AB129" s="52"/>
      <c r="AD129" s="52"/>
    </row>
    <row r="130" spans="1:30" ht="12.75" customHeight="1">
      <c r="A130" s="54">
        <f>A129+1</f>
        <v>73</v>
      </c>
      <c r="B130" s="27" t="s">
        <v>251</v>
      </c>
      <c r="C130" s="224">
        <f t="shared" si="29"/>
        <v>186642.72</v>
      </c>
      <c r="D130" s="23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142"/>
      <c r="Q130" s="142"/>
      <c r="R130" s="224"/>
      <c r="S130" s="224"/>
      <c r="T130" s="142"/>
      <c r="U130" s="197"/>
      <c r="V130" s="224"/>
      <c r="W130" s="224">
        <v>186642.72</v>
      </c>
      <c r="X130" s="224"/>
      <c r="Y130" s="84">
        <v>628233.25</v>
      </c>
      <c r="Z130" s="224" t="s">
        <v>93</v>
      </c>
      <c r="AA130" s="53"/>
      <c r="AB130" s="52"/>
      <c r="AD130" s="52"/>
    </row>
    <row r="131" spans="1:30" ht="12.75" customHeight="1">
      <c r="A131" s="54">
        <f>A130+1</f>
        <v>74</v>
      </c>
      <c r="B131" s="27" t="s">
        <v>252</v>
      </c>
      <c r="C131" s="224">
        <f t="shared" si="29"/>
        <v>288742.68</v>
      </c>
      <c r="D131" s="23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142"/>
      <c r="Q131" s="142"/>
      <c r="R131" s="224"/>
      <c r="S131" s="224"/>
      <c r="T131" s="142"/>
      <c r="U131" s="197"/>
      <c r="V131" s="224"/>
      <c r="W131" s="224">
        <v>288742.68</v>
      </c>
      <c r="X131" s="224"/>
      <c r="Y131" s="84">
        <v>827817.81</v>
      </c>
      <c r="Z131" s="224" t="s">
        <v>93</v>
      </c>
      <c r="AA131" s="53"/>
      <c r="AB131" s="52"/>
      <c r="AD131" s="52"/>
    </row>
    <row r="132" spans="1:30" ht="12.75" customHeight="1">
      <c r="A132" s="54">
        <f>A131+1</f>
        <v>75</v>
      </c>
      <c r="B132" s="29" t="s">
        <v>254</v>
      </c>
      <c r="C132" s="224">
        <f t="shared" si="29"/>
        <v>336329.88</v>
      </c>
      <c r="D132" s="23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142"/>
      <c r="U132" s="197"/>
      <c r="V132" s="224"/>
      <c r="W132" s="224">
        <v>336329.88</v>
      </c>
      <c r="X132" s="224"/>
      <c r="Y132" s="84">
        <v>797030.73</v>
      </c>
      <c r="Z132" s="224" t="s">
        <v>93</v>
      </c>
      <c r="AA132" s="53"/>
      <c r="AB132" s="52"/>
      <c r="AD132" s="52"/>
    </row>
    <row r="133" spans="1:30" ht="12.75" customHeight="1">
      <c r="A133" s="54">
        <f>A132+1</f>
        <v>76</v>
      </c>
      <c r="B133" s="29" t="s">
        <v>255</v>
      </c>
      <c r="C133" s="224">
        <f t="shared" si="29"/>
        <v>266762.21</v>
      </c>
      <c r="D133" s="23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142"/>
      <c r="U133" s="197"/>
      <c r="V133" s="224"/>
      <c r="W133" s="224">
        <v>266762.21</v>
      </c>
      <c r="X133" s="224"/>
      <c r="Y133" s="84">
        <v>697504.22</v>
      </c>
      <c r="Z133" s="224" t="s">
        <v>93</v>
      </c>
      <c r="AA133" s="53"/>
      <c r="AB133" s="52"/>
      <c r="AD133" s="52"/>
    </row>
    <row r="134" spans="1:30" ht="12.75" customHeight="1">
      <c r="A134" s="304" t="s">
        <v>60</v>
      </c>
      <c r="B134" s="305"/>
      <c r="C134" s="102">
        <f>SUM(C128:C133)</f>
        <v>1645901.48</v>
      </c>
      <c r="D134" s="102">
        <f aca="true" t="shared" si="30" ref="D134:X134">SUM(D128:D133)</f>
        <v>0</v>
      </c>
      <c r="E134" s="102">
        <f t="shared" si="30"/>
        <v>0</v>
      </c>
      <c r="F134" s="102">
        <f t="shared" si="30"/>
        <v>0</v>
      </c>
      <c r="G134" s="102">
        <f t="shared" si="30"/>
        <v>0</v>
      </c>
      <c r="H134" s="102">
        <f t="shared" si="30"/>
        <v>0</v>
      </c>
      <c r="I134" s="102">
        <f t="shared" si="30"/>
        <v>0</v>
      </c>
      <c r="J134" s="102">
        <f t="shared" si="30"/>
        <v>0</v>
      </c>
      <c r="K134" s="102">
        <f t="shared" si="30"/>
        <v>0</v>
      </c>
      <c r="L134" s="102">
        <f t="shared" si="30"/>
        <v>0</v>
      </c>
      <c r="M134" s="102">
        <f t="shared" si="30"/>
        <v>0</v>
      </c>
      <c r="N134" s="102">
        <f t="shared" si="30"/>
        <v>0</v>
      </c>
      <c r="O134" s="102">
        <f t="shared" si="30"/>
        <v>0</v>
      </c>
      <c r="P134" s="102">
        <f t="shared" si="30"/>
        <v>0</v>
      </c>
      <c r="Q134" s="102">
        <f t="shared" si="30"/>
        <v>0</v>
      </c>
      <c r="R134" s="102">
        <f t="shared" si="30"/>
        <v>0</v>
      </c>
      <c r="S134" s="102">
        <f t="shared" si="30"/>
        <v>0</v>
      </c>
      <c r="T134" s="102">
        <f t="shared" si="30"/>
        <v>0</v>
      </c>
      <c r="U134" s="102">
        <f t="shared" si="30"/>
        <v>0</v>
      </c>
      <c r="V134" s="102">
        <f t="shared" si="30"/>
        <v>0</v>
      </c>
      <c r="W134" s="102">
        <f>SUM(W128:W133)</f>
        <v>1645901.48</v>
      </c>
      <c r="X134" s="102">
        <f t="shared" si="30"/>
        <v>0</v>
      </c>
      <c r="Y134" s="102"/>
      <c r="Z134" s="102"/>
      <c r="AA134" s="53">
        <f>E134+F134+G134+H134+I134+K134+M134+O134+Q134+S134+U134+W134+V134+X134</f>
        <v>1645901.48</v>
      </c>
      <c r="AB134" s="52">
        <f>AA134-C134</f>
        <v>0</v>
      </c>
      <c r="AC134" s="52"/>
      <c r="AD134" s="52"/>
    </row>
    <row r="135" spans="1:31" ht="12.75" customHeight="1">
      <c r="A135" s="259" t="s">
        <v>74</v>
      </c>
      <c r="B135" s="259"/>
      <c r="C135" s="243">
        <f>C134</f>
        <v>1645901.48</v>
      </c>
      <c r="D135" s="243">
        <f aca="true" t="shared" si="31" ref="D135:W135">D134</f>
        <v>0</v>
      </c>
      <c r="E135" s="243">
        <f t="shared" si="31"/>
        <v>0</v>
      </c>
      <c r="F135" s="243">
        <f t="shared" si="31"/>
        <v>0</v>
      </c>
      <c r="G135" s="243">
        <f t="shared" si="31"/>
        <v>0</v>
      </c>
      <c r="H135" s="243">
        <f t="shared" si="31"/>
        <v>0</v>
      </c>
      <c r="I135" s="243">
        <f t="shared" si="31"/>
        <v>0</v>
      </c>
      <c r="J135" s="243">
        <f t="shared" si="31"/>
        <v>0</v>
      </c>
      <c r="K135" s="243">
        <f t="shared" si="31"/>
        <v>0</v>
      </c>
      <c r="L135" s="243">
        <f t="shared" si="31"/>
        <v>0</v>
      </c>
      <c r="M135" s="243">
        <f t="shared" si="31"/>
        <v>0</v>
      </c>
      <c r="N135" s="243">
        <f t="shared" si="31"/>
        <v>0</v>
      </c>
      <c r="O135" s="243">
        <f t="shared" si="31"/>
        <v>0</v>
      </c>
      <c r="P135" s="243">
        <f t="shared" si="31"/>
        <v>0</v>
      </c>
      <c r="Q135" s="243">
        <f t="shared" si="31"/>
        <v>0</v>
      </c>
      <c r="R135" s="243">
        <f t="shared" si="31"/>
        <v>0</v>
      </c>
      <c r="S135" s="243">
        <f t="shared" si="31"/>
        <v>0</v>
      </c>
      <c r="T135" s="243">
        <f t="shared" si="31"/>
        <v>0</v>
      </c>
      <c r="U135" s="243">
        <f t="shared" si="31"/>
        <v>0</v>
      </c>
      <c r="V135" s="243">
        <f t="shared" si="31"/>
        <v>0</v>
      </c>
      <c r="W135" s="243">
        <f t="shared" si="31"/>
        <v>1645901.48</v>
      </c>
      <c r="X135" s="224">
        <f>C135-W135</f>
        <v>0</v>
      </c>
      <c r="Y135" s="243"/>
      <c r="Z135" s="243"/>
      <c r="AA135" s="53"/>
      <c r="AB135" s="52"/>
      <c r="AC135" s="11"/>
      <c r="AD135" s="52"/>
      <c r="AE135" s="9"/>
    </row>
    <row r="136" spans="1:31" ht="12.75" customHeight="1">
      <c r="A136" s="329" t="s">
        <v>210</v>
      </c>
      <c r="B136" s="330"/>
      <c r="C136" s="330"/>
      <c r="D136" s="330"/>
      <c r="E136" s="330"/>
      <c r="F136" s="330"/>
      <c r="G136" s="330"/>
      <c r="H136" s="330"/>
      <c r="I136" s="330"/>
      <c r="J136" s="330"/>
      <c r="K136" s="330"/>
      <c r="L136" s="330"/>
      <c r="M136" s="330"/>
      <c r="N136" s="330"/>
      <c r="O136" s="330"/>
      <c r="P136" s="330"/>
      <c r="Q136" s="330"/>
      <c r="R136" s="330"/>
      <c r="S136" s="330"/>
      <c r="T136" s="330"/>
      <c r="U136" s="330"/>
      <c r="V136" s="330"/>
      <c r="W136" s="330"/>
      <c r="X136" s="331"/>
      <c r="Y136" s="243"/>
      <c r="Z136" s="243"/>
      <c r="AA136" s="53"/>
      <c r="AB136" s="52"/>
      <c r="AC136" s="11"/>
      <c r="AD136" s="52"/>
      <c r="AE136" s="9"/>
    </row>
    <row r="137" spans="1:31" ht="12.75" customHeight="1">
      <c r="A137" s="264" t="s">
        <v>259</v>
      </c>
      <c r="B137" s="265"/>
      <c r="C137" s="266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5"/>
      <c r="Y137" s="243"/>
      <c r="Z137" s="243"/>
      <c r="AA137" s="53"/>
      <c r="AB137" s="52"/>
      <c r="AC137" s="11"/>
      <c r="AD137" s="52"/>
      <c r="AE137" s="9"/>
    </row>
    <row r="138" spans="1:31" ht="12.75" customHeight="1">
      <c r="A138" s="54">
        <f>A133+1</f>
        <v>77</v>
      </c>
      <c r="B138" s="22" t="s">
        <v>214</v>
      </c>
      <c r="C138" s="224">
        <f aca="true" t="shared" si="32" ref="C138:C143">D138+K138+M138+O138+Q138+S138+U138+V138+W138+X138</f>
        <v>99554.87</v>
      </c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24">
        <v>99554.87</v>
      </c>
      <c r="X138" s="246"/>
      <c r="Y138" s="243"/>
      <c r="Z138" s="224" t="s">
        <v>301</v>
      </c>
      <c r="AA138" s="53"/>
      <c r="AB138" s="52"/>
      <c r="AC138" s="11"/>
      <c r="AD138" s="52"/>
      <c r="AE138" s="9"/>
    </row>
    <row r="139" spans="1:31" ht="12.75" customHeight="1">
      <c r="A139" s="54">
        <f>A138+1</f>
        <v>78</v>
      </c>
      <c r="B139" s="22" t="s">
        <v>215</v>
      </c>
      <c r="C139" s="224">
        <f t="shared" si="32"/>
        <v>109363</v>
      </c>
      <c r="D139" s="243"/>
      <c r="E139" s="243"/>
      <c r="F139" s="243"/>
      <c r="G139" s="243"/>
      <c r="H139" s="243"/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24">
        <v>109363</v>
      </c>
      <c r="X139" s="246"/>
      <c r="Y139" s="243"/>
      <c r="Z139" s="224" t="s">
        <v>301</v>
      </c>
      <c r="AA139" s="53"/>
      <c r="AB139" s="52"/>
      <c r="AC139" s="11"/>
      <c r="AD139" s="52"/>
      <c r="AE139" s="9"/>
    </row>
    <row r="140" spans="1:31" ht="12.75" customHeight="1">
      <c r="A140" s="54">
        <f>A139+1</f>
        <v>79</v>
      </c>
      <c r="B140" s="22" t="s">
        <v>216</v>
      </c>
      <c r="C140" s="224">
        <f t="shared" si="32"/>
        <v>108006.9</v>
      </c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24">
        <v>108006.9</v>
      </c>
      <c r="X140" s="246"/>
      <c r="Y140" s="243"/>
      <c r="Z140" s="224" t="s">
        <v>301</v>
      </c>
      <c r="AA140" s="53"/>
      <c r="AB140" s="52"/>
      <c r="AC140" s="11"/>
      <c r="AD140" s="52"/>
      <c r="AE140" s="9"/>
    </row>
    <row r="141" spans="1:31" ht="12.75" customHeight="1">
      <c r="A141" s="54">
        <f>A140+1</f>
        <v>80</v>
      </c>
      <c r="B141" s="22" t="s">
        <v>217</v>
      </c>
      <c r="C141" s="224">
        <f t="shared" si="32"/>
        <v>100406.37</v>
      </c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24">
        <v>100406.37</v>
      </c>
      <c r="X141" s="246"/>
      <c r="Y141" s="243"/>
      <c r="Z141" s="224" t="s">
        <v>301</v>
      </c>
      <c r="AA141" s="53"/>
      <c r="AB141" s="52"/>
      <c r="AC141" s="11"/>
      <c r="AD141" s="52"/>
      <c r="AE141" s="9"/>
    </row>
    <row r="142" spans="1:31" ht="12.75" customHeight="1">
      <c r="A142" s="54">
        <f>A141+1</f>
        <v>81</v>
      </c>
      <c r="B142" s="22" t="s">
        <v>218</v>
      </c>
      <c r="C142" s="224">
        <f t="shared" si="32"/>
        <v>101510.17</v>
      </c>
      <c r="D142" s="243"/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243"/>
      <c r="Q142" s="243"/>
      <c r="R142" s="243"/>
      <c r="S142" s="243"/>
      <c r="T142" s="243"/>
      <c r="U142" s="243"/>
      <c r="V142" s="243"/>
      <c r="W142" s="224">
        <v>101510.17</v>
      </c>
      <c r="X142" s="246"/>
      <c r="Y142" s="243"/>
      <c r="Z142" s="224" t="s">
        <v>301</v>
      </c>
      <c r="AA142" s="53"/>
      <c r="AB142" s="52"/>
      <c r="AC142" s="11"/>
      <c r="AD142" s="52"/>
      <c r="AE142" s="9"/>
    </row>
    <row r="143" spans="1:31" ht="12.75" customHeight="1">
      <c r="A143" s="54">
        <f>A142+1</f>
        <v>82</v>
      </c>
      <c r="B143" s="22" t="s">
        <v>219</v>
      </c>
      <c r="C143" s="224">
        <f t="shared" si="32"/>
        <v>97820.31</v>
      </c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3"/>
      <c r="Q143" s="243"/>
      <c r="R143" s="243"/>
      <c r="S143" s="243"/>
      <c r="T143" s="243"/>
      <c r="U143" s="243"/>
      <c r="V143" s="243"/>
      <c r="W143" s="224">
        <v>97820.31</v>
      </c>
      <c r="X143" s="246"/>
      <c r="Y143" s="243"/>
      <c r="Z143" s="224" t="s">
        <v>301</v>
      </c>
      <c r="AA143" s="53"/>
      <c r="AB143" s="52"/>
      <c r="AC143" s="11"/>
      <c r="AD143" s="52"/>
      <c r="AE143" s="9"/>
    </row>
    <row r="144" spans="1:31" ht="12.75" customHeight="1">
      <c r="A144" s="304" t="s">
        <v>60</v>
      </c>
      <c r="B144" s="305"/>
      <c r="C144" s="102">
        <f>SUM(C138:C143)</f>
        <v>616661.62</v>
      </c>
      <c r="D144" s="102">
        <f aca="true" t="shared" si="33" ref="D144:V144">SUM(D138:D143)</f>
        <v>0</v>
      </c>
      <c r="E144" s="102">
        <f t="shared" si="33"/>
        <v>0</v>
      </c>
      <c r="F144" s="102">
        <f t="shared" si="33"/>
        <v>0</v>
      </c>
      <c r="G144" s="102">
        <f t="shared" si="33"/>
        <v>0</v>
      </c>
      <c r="H144" s="102">
        <f t="shared" si="33"/>
        <v>0</v>
      </c>
      <c r="I144" s="102">
        <f t="shared" si="33"/>
        <v>0</v>
      </c>
      <c r="J144" s="102">
        <f t="shared" si="33"/>
        <v>0</v>
      </c>
      <c r="K144" s="102">
        <f t="shared" si="33"/>
        <v>0</v>
      </c>
      <c r="L144" s="102">
        <f t="shared" si="33"/>
        <v>0</v>
      </c>
      <c r="M144" s="102">
        <f t="shared" si="33"/>
        <v>0</v>
      </c>
      <c r="N144" s="102">
        <f t="shared" si="33"/>
        <v>0</v>
      </c>
      <c r="O144" s="102">
        <f t="shared" si="33"/>
        <v>0</v>
      </c>
      <c r="P144" s="102">
        <f t="shared" si="33"/>
        <v>0</v>
      </c>
      <c r="Q144" s="102">
        <f t="shared" si="33"/>
        <v>0</v>
      </c>
      <c r="R144" s="102">
        <f t="shared" si="33"/>
        <v>0</v>
      </c>
      <c r="S144" s="102">
        <f t="shared" si="33"/>
        <v>0</v>
      </c>
      <c r="T144" s="102">
        <f t="shared" si="33"/>
        <v>0</v>
      </c>
      <c r="U144" s="102">
        <f t="shared" si="33"/>
        <v>0</v>
      </c>
      <c r="V144" s="102">
        <f t="shared" si="33"/>
        <v>0</v>
      </c>
      <c r="W144" s="102">
        <f>SUM(W138:W143)</f>
        <v>616661.62</v>
      </c>
      <c r="X144" s="102">
        <f>SUM(Z138:Z143)</f>
        <v>0</v>
      </c>
      <c r="Y144" s="102"/>
      <c r="Z144" s="102"/>
      <c r="AA144" s="53"/>
      <c r="AB144" s="52"/>
      <c r="AC144" s="11"/>
      <c r="AD144" s="52"/>
      <c r="AE144" s="9"/>
    </row>
    <row r="145" spans="1:31" ht="12.75" customHeight="1">
      <c r="A145" s="264" t="s">
        <v>260</v>
      </c>
      <c r="B145" s="265"/>
      <c r="C145" s="266"/>
      <c r="D145" s="243"/>
      <c r="E145" s="243"/>
      <c r="F145" s="243"/>
      <c r="G145" s="243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53"/>
      <c r="AB145" s="52"/>
      <c r="AC145" s="11"/>
      <c r="AD145" s="52"/>
      <c r="AE145" s="9"/>
    </row>
    <row r="146" spans="1:31" ht="12.75" customHeight="1">
      <c r="A146" s="54">
        <f>A143+1</f>
        <v>83</v>
      </c>
      <c r="B146" s="82" t="s">
        <v>211</v>
      </c>
      <c r="C146" s="224">
        <f>D146+K146+M146+O146+Q146+S146+U146+V146+W146+X146</f>
        <v>922949.93</v>
      </c>
      <c r="D146" s="102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102">
        <v>922949.93</v>
      </c>
      <c r="X146" s="243"/>
      <c r="Y146" s="243"/>
      <c r="Z146" s="243" t="s">
        <v>93</v>
      </c>
      <c r="AA146" s="53"/>
      <c r="AB146" s="52"/>
      <c r="AC146" s="11"/>
      <c r="AD146" s="52"/>
      <c r="AE146" s="9"/>
    </row>
    <row r="147" spans="1:31" ht="12.75" customHeight="1">
      <c r="A147" s="304" t="s">
        <v>60</v>
      </c>
      <c r="B147" s="305"/>
      <c r="C147" s="243">
        <f>SUM(C146)</f>
        <v>922949.93</v>
      </c>
      <c r="D147" s="224">
        <f aca="true" t="shared" si="34" ref="D147:W147">SUM(D146)</f>
        <v>0</v>
      </c>
      <c r="E147" s="224">
        <f t="shared" si="34"/>
        <v>0</v>
      </c>
      <c r="F147" s="224">
        <f t="shared" si="34"/>
        <v>0</v>
      </c>
      <c r="G147" s="224">
        <f t="shared" si="34"/>
        <v>0</v>
      </c>
      <c r="H147" s="224">
        <f t="shared" si="34"/>
        <v>0</v>
      </c>
      <c r="I147" s="224">
        <f t="shared" si="34"/>
        <v>0</v>
      </c>
      <c r="J147" s="224">
        <f t="shared" si="34"/>
        <v>0</v>
      </c>
      <c r="K147" s="224">
        <f t="shared" si="34"/>
        <v>0</v>
      </c>
      <c r="L147" s="224">
        <f t="shared" si="34"/>
        <v>0</v>
      </c>
      <c r="M147" s="224">
        <f t="shared" si="34"/>
        <v>0</v>
      </c>
      <c r="N147" s="224">
        <f t="shared" si="34"/>
        <v>0</v>
      </c>
      <c r="O147" s="224">
        <f t="shared" si="34"/>
        <v>0</v>
      </c>
      <c r="P147" s="224">
        <f t="shared" si="34"/>
        <v>0</v>
      </c>
      <c r="Q147" s="224">
        <f t="shared" si="34"/>
        <v>0</v>
      </c>
      <c r="R147" s="224">
        <f t="shared" si="34"/>
        <v>0</v>
      </c>
      <c r="S147" s="224">
        <f t="shared" si="34"/>
        <v>0</v>
      </c>
      <c r="T147" s="224">
        <f t="shared" si="34"/>
        <v>0</v>
      </c>
      <c r="U147" s="224">
        <f t="shared" si="34"/>
        <v>0</v>
      </c>
      <c r="V147" s="224">
        <f t="shared" si="34"/>
        <v>0</v>
      </c>
      <c r="W147" s="243">
        <f t="shared" si="34"/>
        <v>922949.93</v>
      </c>
      <c r="X147" s="224">
        <f>C147-W147</f>
        <v>0</v>
      </c>
      <c r="Y147" s="243"/>
      <c r="Z147" s="243"/>
      <c r="AA147" s="53"/>
      <c r="AB147" s="52"/>
      <c r="AC147" s="11"/>
      <c r="AD147" s="52"/>
      <c r="AE147" s="9"/>
    </row>
    <row r="148" spans="1:31" ht="12.75" customHeight="1">
      <c r="A148" s="259" t="s">
        <v>212</v>
      </c>
      <c r="B148" s="259"/>
      <c r="C148" s="243">
        <f>C144+C147</f>
        <v>1539611.55</v>
      </c>
      <c r="D148" s="243">
        <f aca="true" t="shared" si="35" ref="D148:W148">D144+D147</f>
        <v>0</v>
      </c>
      <c r="E148" s="243">
        <f t="shared" si="35"/>
        <v>0</v>
      </c>
      <c r="F148" s="243">
        <f t="shared" si="35"/>
        <v>0</v>
      </c>
      <c r="G148" s="243">
        <f t="shared" si="35"/>
        <v>0</v>
      </c>
      <c r="H148" s="243">
        <f t="shared" si="35"/>
        <v>0</v>
      </c>
      <c r="I148" s="243">
        <f t="shared" si="35"/>
        <v>0</v>
      </c>
      <c r="J148" s="243">
        <f t="shared" si="35"/>
        <v>0</v>
      </c>
      <c r="K148" s="243">
        <f t="shared" si="35"/>
        <v>0</v>
      </c>
      <c r="L148" s="243">
        <f t="shared" si="35"/>
        <v>0</v>
      </c>
      <c r="M148" s="243">
        <f t="shared" si="35"/>
        <v>0</v>
      </c>
      <c r="N148" s="243">
        <f t="shared" si="35"/>
        <v>0</v>
      </c>
      <c r="O148" s="243">
        <f t="shared" si="35"/>
        <v>0</v>
      </c>
      <c r="P148" s="243">
        <f t="shared" si="35"/>
        <v>0</v>
      </c>
      <c r="Q148" s="243">
        <f t="shared" si="35"/>
        <v>0</v>
      </c>
      <c r="R148" s="243">
        <f t="shared" si="35"/>
        <v>0</v>
      </c>
      <c r="S148" s="243">
        <f t="shared" si="35"/>
        <v>0</v>
      </c>
      <c r="T148" s="243">
        <f t="shared" si="35"/>
        <v>0</v>
      </c>
      <c r="U148" s="243">
        <f t="shared" si="35"/>
        <v>0</v>
      </c>
      <c r="V148" s="243">
        <f t="shared" si="35"/>
        <v>0</v>
      </c>
      <c r="W148" s="243">
        <f t="shared" si="35"/>
        <v>1539611.55</v>
      </c>
      <c r="X148" s="224">
        <f>C148-W148</f>
        <v>0</v>
      </c>
      <c r="Y148" s="243"/>
      <c r="Z148" s="243"/>
      <c r="AA148" s="53"/>
      <c r="AB148" s="52"/>
      <c r="AC148" s="11"/>
      <c r="AD148" s="52"/>
      <c r="AE148" s="9"/>
    </row>
    <row r="149" spans="1:30" ht="12.75" customHeight="1">
      <c r="A149" s="328" t="s">
        <v>75</v>
      </c>
      <c r="B149" s="328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243"/>
      <c r="Z149" s="243"/>
      <c r="AA149" s="53"/>
      <c r="AB149" s="52"/>
      <c r="AD149" s="52"/>
    </row>
    <row r="150" spans="1:30" ht="12.75" customHeight="1">
      <c r="A150" s="267" t="s">
        <v>76</v>
      </c>
      <c r="B150" s="267"/>
      <c r="C150" s="267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234"/>
      <c r="Z150" s="234"/>
      <c r="AA150" s="53"/>
      <c r="AB150" s="52"/>
      <c r="AD150" s="52"/>
    </row>
    <row r="151" spans="1:30" ht="12.75" customHeight="1">
      <c r="A151" s="54">
        <f>A146+1</f>
        <v>84</v>
      </c>
      <c r="B151" s="37" t="s">
        <v>97</v>
      </c>
      <c r="C151" s="224">
        <f>D151+K151+M151+O151+Q151+S151+U151+V151+W151+X151</f>
        <v>996373.06</v>
      </c>
      <c r="D151" s="102"/>
      <c r="E151" s="234"/>
      <c r="F151" s="234"/>
      <c r="G151" s="234"/>
      <c r="H151" s="234"/>
      <c r="I151" s="234"/>
      <c r="J151" s="234"/>
      <c r="K151" s="234"/>
      <c r="L151" s="224"/>
      <c r="M151" s="224"/>
      <c r="N151" s="224"/>
      <c r="O151" s="224"/>
      <c r="P151" s="234"/>
      <c r="Q151" s="234"/>
      <c r="R151" s="234"/>
      <c r="S151" s="234"/>
      <c r="T151" s="224"/>
      <c r="U151" s="224"/>
      <c r="V151" s="234"/>
      <c r="W151" s="224">
        <v>996373.06</v>
      </c>
      <c r="X151" s="234"/>
      <c r="Y151" s="224">
        <f>165+396.2+441661.69+1480169.29+72041.74+187053.75</f>
        <v>2181487.67</v>
      </c>
      <c r="Z151" s="102" t="s">
        <v>279</v>
      </c>
      <c r="AA151" s="53"/>
      <c r="AB151" s="52"/>
      <c r="AD151" s="52"/>
    </row>
    <row r="152" spans="1:30" ht="12.75" customHeight="1">
      <c r="A152" s="54">
        <f>A151+1</f>
        <v>85</v>
      </c>
      <c r="B152" s="37" t="s">
        <v>98</v>
      </c>
      <c r="C152" s="224">
        <f>D152+K152+M152+O152+Q152+S152+U152+V152+W152+X152</f>
        <v>996373.06</v>
      </c>
      <c r="D152" s="102"/>
      <c r="E152" s="234"/>
      <c r="F152" s="234"/>
      <c r="G152" s="234"/>
      <c r="H152" s="234"/>
      <c r="I152" s="234"/>
      <c r="J152" s="234"/>
      <c r="K152" s="234"/>
      <c r="L152" s="224"/>
      <c r="M152" s="224"/>
      <c r="N152" s="224"/>
      <c r="O152" s="224"/>
      <c r="P152" s="234"/>
      <c r="Q152" s="234"/>
      <c r="R152" s="234"/>
      <c r="S152" s="234"/>
      <c r="T152" s="224"/>
      <c r="U152" s="224"/>
      <c r="V152" s="234"/>
      <c r="W152" s="224">
        <v>996373.06</v>
      </c>
      <c r="X152" s="234"/>
      <c r="Y152" s="224">
        <f>165+396.2+441661.69+1480169.29+72041.74+187053.75</f>
        <v>2181487.67</v>
      </c>
      <c r="Z152" s="102" t="s">
        <v>279</v>
      </c>
      <c r="AA152" s="53"/>
      <c r="AB152" s="52"/>
      <c r="AD152" s="52"/>
    </row>
    <row r="153" spans="1:30" ht="12.75" customHeight="1">
      <c r="A153" s="54">
        <f>A152+1</f>
        <v>86</v>
      </c>
      <c r="B153" s="37" t="s">
        <v>99</v>
      </c>
      <c r="C153" s="224">
        <f>D153+K153+M153+O153+Q153+S153+U153+V153+W153+X153</f>
        <v>996373.06</v>
      </c>
      <c r="D153" s="102"/>
      <c r="E153" s="234"/>
      <c r="F153" s="234"/>
      <c r="G153" s="234"/>
      <c r="H153" s="234"/>
      <c r="I153" s="234"/>
      <c r="J153" s="234"/>
      <c r="K153" s="234"/>
      <c r="L153" s="224"/>
      <c r="M153" s="224"/>
      <c r="N153" s="224"/>
      <c r="O153" s="224"/>
      <c r="P153" s="234"/>
      <c r="Q153" s="234"/>
      <c r="R153" s="234"/>
      <c r="S153" s="234"/>
      <c r="T153" s="224"/>
      <c r="U153" s="224"/>
      <c r="V153" s="234"/>
      <c r="W153" s="224">
        <v>996373.06</v>
      </c>
      <c r="X153" s="234"/>
      <c r="Y153" s="224">
        <f>165+396.2+441661.69+1480169.29+72041.74+187053.75</f>
        <v>2181487.67</v>
      </c>
      <c r="Z153" s="102" t="s">
        <v>279</v>
      </c>
      <c r="AA153" s="53"/>
      <c r="AB153" s="52"/>
      <c r="AD153" s="52"/>
    </row>
    <row r="154" spans="1:30" ht="12.75" customHeight="1">
      <c r="A154" s="54">
        <f>A153+1</f>
        <v>87</v>
      </c>
      <c r="B154" s="25" t="s">
        <v>100</v>
      </c>
      <c r="C154" s="224">
        <f>D154+K154+M154+O154+Q154+S154+U154+V154+W154+X154</f>
        <v>1517736.64</v>
      </c>
      <c r="D154" s="102"/>
      <c r="E154" s="234"/>
      <c r="F154" s="234"/>
      <c r="G154" s="234"/>
      <c r="H154" s="234"/>
      <c r="I154" s="234"/>
      <c r="J154" s="234"/>
      <c r="K154" s="234"/>
      <c r="L154" s="224"/>
      <c r="M154" s="224"/>
      <c r="N154" s="224"/>
      <c r="O154" s="224"/>
      <c r="P154" s="224"/>
      <c r="Q154" s="224"/>
      <c r="R154" s="234"/>
      <c r="S154" s="234"/>
      <c r="T154" s="234"/>
      <c r="U154" s="234"/>
      <c r="V154" s="234"/>
      <c r="W154" s="224">
        <v>1517736.64</v>
      </c>
      <c r="X154" s="234"/>
      <c r="Y154" s="224">
        <f>229458.62+81413.72+261885.16+730070.71+622946.25</f>
        <v>1925774.46</v>
      </c>
      <c r="Z154" s="102" t="s">
        <v>280</v>
      </c>
      <c r="AA154" s="53"/>
      <c r="AB154" s="52"/>
      <c r="AD154" s="52"/>
    </row>
    <row r="155" spans="1:30" ht="12.75" customHeight="1">
      <c r="A155" s="274" t="s">
        <v>60</v>
      </c>
      <c r="B155" s="274"/>
      <c r="C155" s="224">
        <f>SUM(C151:C154)</f>
        <v>4506855.82</v>
      </c>
      <c r="D155" s="224">
        <f aca="true" t="shared" si="36" ref="D155:W155">SUM(D151:D154)</f>
        <v>0</v>
      </c>
      <c r="E155" s="224">
        <f t="shared" si="36"/>
        <v>0</v>
      </c>
      <c r="F155" s="224">
        <f t="shared" si="36"/>
        <v>0</v>
      </c>
      <c r="G155" s="224">
        <f t="shared" si="36"/>
        <v>0</v>
      </c>
      <c r="H155" s="224">
        <f t="shared" si="36"/>
        <v>0</v>
      </c>
      <c r="I155" s="224">
        <f t="shared" si="36"/>
        <v>0</v>
      </c>
      <c r="J155" s="224">
        <f t="shared" si="36"/>
        <v>0</v>
      </c>
      <c r="K155" s="224">
        <f t="shared" si="36"/>
        <v>0</v>
      </c>
      <c r="L155" s="224">
        <f t="shared" si="36"/>
        <v>0</v>
      </c>
      <c r="M155" s="224">
        <f t="shared" si="36"/>
        <v>0</v>
      </c>
      <c r="N155" s="224">
        <f t="shared" si="36"/>
        <v>0</v>
      </c>
      <c r="O155" s="224">
        <f t="shared" si="36"/>
        <v>0</v>
      </c>
      <c r="P155" s="224">
        <f t="shared" si="36"/>
        <v>0</v>
      </c>
      <c r="Q155" s="224">
        <f t="shared" si="36"/>
        <v>0</v>
      </c>
      <c r="R155" s="224">
        <f t="shared" si="36"/>
        <v>0</v>
      </c>
      <c r="S155" s="224">
        <f t="shared" si="36"/>
        <v>0</v>
      </c>
      <c r="T155" s="224">
        <f t="shared" si="36"/>
        <v>0</v>
      </c>
      <c r="U155" s="224">
        <f t="shared" si="36"/>
        <v>0</v>
      </c>
      <c r="V155" s="224">
        <f t="shared" si="36"/>
        <v>0</v>
      </c>
      <c r="W155" s="224">
        <f t="shared" si="36"/>
        <v>4506855.82</v>
      </c>
      <c r="X155" s="224">
        <f>C155-W155</f>
        <v>0</v>
      </c>
      <c r="Y155" s="224"/>
      <c r="Z155" s="224"/>
      <c r="AA155" s="53">
        <f>E155+F155+G155+H155+I155+K155+M155+O155+Q155+S155+U155+W155+V155+X155</f>
        <v>4506855.82</v>
      </c>
      <c r="AB155" s="52">
        <f>AA155-C155</f>
        <v>0</v>
      </c>
      <c r="AC155" s="52"/>
      <c r="AD155" s="52"/>
    </row>
    <row r="156" spans="1:31" s="13" customFormat="1" ht="18" customHeight="1">
      <c r="A156" s="259" t="s">
        <v>88</v>
      </c>
      <c r="B156" s="259"/>
      <c r="C156" s="259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234"/>
      <c r="Z156" s="234"/>
      <c r="AA156" s="53"/>
      <c r="AB156" s="52"/>
      <c r="AD156" s="52"/>
      <c r="AE156" s="51"/>
    </row>
    <row r="157" spans="1:31" s="13" customFormat="1" ht="13.5" customHeight="1">
      <c r="A157" s="54">
        <f>A154+1</f>
        <v>88</v>
      </c>
      <c r="B157" s="35" t="s">
        <v>127</v>
      </c>
      <c r="C157" s="241">
        <f>D157+K157+M157+Q157+O157+S157+U157+W157+X157</f>
        <v>2058935.2999999998</v>
      </c>
      <c r="D157" s="102"/>
      <c r="E157" s="234"/>
      <c r="F157" s="234"/>
      <c r="G157" s="234"/>
      <c r="H157" s="234"/>
      <c r="I157" s="234"/>
      <c r="J157" s="234"/>
      <c r="K157" s="234"/>
      <c r="L157" s="176"/>
      <c r="M157" s="176"/>
      <c r="N157" s="234"/>
      <c r="O157" s="234"/>
      <c r="P157" s="176"/>
      <c r="Q157" s="176"/>
      <c r="R157" s="234"/>
      <c r="S157" s="234"/>
      <c r="T157" s="176"/>
      <c r="U157" s="176"/>
      <c r="V157" s="234"/>
      <c r="W157" s="102">
        <f>Y157</f>
        <v>2058935.2999999998</v>
      </c>
      <c r="X157" s="234"/>
      <c r="Y157" s="102">
        <f>1402231.15+656704.15</f>
        <v>2058935.2999999998</v>
      </c>
      <c r="Z157" s="17" t="s">
        <v>272</v>
      </c>
      <c r="AA157" s="53"/>
      <c r="AB157" s="52"/>
      <c r="AD157" s="52"/>
      <c r="AE157" s="51"/>
    </row>
    <row r="158" spans="1:31" s="13" customFormat="1" ht="15.75" customHeight="1">
      <c r="A158" s="72">
        <f>A157+1</f>
        <v>89</v>
      </c>
      <c r="B158" s="35" t="s">
        <v>128</v>
      </c>
      <c r="C158" s="241">
        <f>D158+K158+M158+Q158+O158+S158+U158+W158+X158</f>
        <v>643213.16</v>
      </c>
      <c r="D158" s="102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176"/>
      <c r="Q158" s="176"/>
      <c r="R158" s="224"/>
      <c r="S158" s="224"/>
      <c r="T158" s="176"/>
      <c r="U158" s="176"/>
      <c r="V158" s="224"/>
      <c r="W158" s="224">
        <f>Y158</f>
        <v>643213.16</v>
      </c>
      <c r="X158" s="224"/>
      <c r="Y158" s="36">
        <v>643213.16</v>
      </c>
      <c r="Z158" s="224" t="s">
        <v>93</v>
      </c>
      <c r="AA158" s="53"/>
      <c r="AB158" s="52"/>
      <c r="AC158" s="52"/>
      <c r="AD158" s="52"/>
      <c r="AE158" s="51"/>
    </row>
    <row r="159" spans="1:31" s="13" customFormat="1" ht="15.75" customHeight="1">
      <c r="A159" s="72">
        <f>A158+1</f>
        <v>90</v>
      </c>
      <c r="B159" s="35" t="s">
        <v>129</v>
      </c>
      <c r="C159" s="241">
        <f>D159+K159+M159+Q159+O159+S159+U159+W159+X159</f>
        <v>643277.37</v>
      </c>
      <c r="D159" s="102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176"/>
      <c r="Q159" s="176"/>
      <c r="R159" s="224"/>
      <c r="S159" s="224"/>
      <c r="T159" s="176"/>
      <c r="U159" s="176"/>
      <c r="V159" s="224"/>
      <c r="W159" s="224">
        <f>Y159</f>
        <v>643277.37</v>
      </c>
      <c r="X159" s="224"/>
      <c r="Y159" s="36">
        <v>643277.37</v>
      </c>
      <c r="Z159" s="224" t="s">
        <v>93</v>
      </c>
      <c r="AA159" s="53"/>
      <c r="AB159" s="52"/>
      <c r="AC159" s="52"/>
      <c r="AD159" s="52"/>
      <c r="AE159" s="51"/>
    </row>
    <row r="160" spans="1:31" s="13" customFormat="1" ht="15.75" customHeight="1">
      <c r="A160" s="72">
        <f>A159+1</f>
        <v>91</v>
      </c>
      <c r="B160" s="35" t="s">
        <v>130</v>
      </c>
      <c r="C160" s="241">
        <f>D160+K160+M160+Q160+O160+S160+U160+W160+X160</f>
        <v>562811.43</v>
      </c>
      <c r="D160" s="102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176"/>
      <c r="Q160" s="176"/>
      <c r="R160" s="224"/>
      <c r="S160" s="224"/>
      <c r="T160" s="176"/>
      <c r="U160" s="176"/>
      <c r="V160" s="224"/>
      <c r="W160" s="224">
        <f>Y160</f>
        <v>562811.43</v>
      </c>
      <c r="X160" s="224"/>
      <c r="Y160" s="36">
        <v>562811.43</v>
      </c>
      <c r="Z160" s="224" t="s">
        <v>93</v>
      </c>
      <c r="AA160" s="53"/>
      <c r="AB160" s="52"/>
      <c r="AC160" s="52"/>
      <c r="AD160" s="52"/>
      <c r="AE160" s="51"/>
    </row>
    <row r="161" spans="1:31" s="13" customFormat="1" ht="15" customHeight="1">
      <c r="A161" s="274" t="s">
        <v>60</v>
      </c>
      <c r="B161" s="334"/>
      <c r="C161" s="224">
        <f>SUM(C157:C160)</f>
        <v>3908237.2600000002</v>
      </c>
      <c r="D161" s="224">
        <f aca="true" t="shared" si="37" ref="D161:X161">SUM(D157:D160)</f>
        <v>0</v>
      </c>
      <c r="E161" s="224">
        <f t="shared" si="37"/>
        <v>0</v>
      </c>
      <c r="F161" s="224">
        <f t="shared" si="37"/>
        <v>0</v>
      </c>
      <c r="G161" s="224">
        <f t="shared" si="37"/>
        <v>0</v>
      </c>
      <c r="H161" s="224">
        <f t="shared" si="37"/>
        <v>0</v>
      </c>
      <c r="I161" s="224">
        <f t="shared" si="37"/>
        <v>0</v>
      </c>
      <c r="J161" s="224">
        <f t="shared" si="37"/>
        <v>0</v>
      </c>
      <c r="K161" s="224">
        <f t="shared" si="37"/>
        <v>0</v>
      </c>
      <c r="L161" s="18">
        <f t="shared" si="37"/>
        <v>0</v>
      </c>
      <c r="M161" s="18">
        <f t="shared" si="37"/>
        <v>0</v>
      </c>
      <c r="N161" s="18">
        <f t="shared" si="37"/>
        <v>0</v>
      </c>
      <c r="O161" s="18">
        <f t="shared" si="37"/>
        <v>0</v>
      </c>
      <c r="P161" s="18">
        <f t="shared" si="37"/>
        <v>0</v>
      </c>
      <c r="Q161" s="18">
        <f>SUM(Q157:Q160)</f>
        <v>0</v>
      </c>
      <c r="R161" s="18">
        <f t="shared" si="37"/>
        <v>0</v>
      </c>
      <c r="S161" s="18">
        <f t="shared" si="37"/>
        <v>0</v>
      </c>
      <c r="T161" s="18">
        <f t="shared" si="37"/>
        <v>0</v>
      </c>
      <c r="U161" s="18">
        <f t="shared" si="37"/>
        <v>0</v>
      </c>
      <c r="V161" s="18">
        <f t="shared" si="37"/>
        <v>0</v>
      </c>
      <c r="W161" s="18">
        <f>SUM(W157:W160)</f>
        <v>3908237.2600000002</v>
      </c>
      <c r="X161" s="18">
        <f t="shared" si="37"/>
        <v>0</v>
      </c>
      <c r="Y161" s="224"/>
      <c r="Z161" s="224"/>
      <c r="AA161" s="53">
        <f>E161+F161+G161+H161+I161+K161+M161+O161+Q161+S161+U161+W161+V161+X161</f>
        <v>3908237.2600000002</v>
      </c>
      <c r="AB161" s="52">
        <f>AA161-C161</f>
        <v>0</v>
      </c>
      <c r="AC161" s="52"/>
      <c r="AD161" s="52"/>
      <c r="AE161" s="51"/>
    </row>
    <row r="162" spans="1:31" s="13" customFormat="1" ht="15" customHeight="1">
      <c r="A162" s="259" t="s">
        <v>242</v>
      </c>
      <c r="B162" s="259"/>
      <c r="C162" s="259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53" t="s">
        <v>223</v>
      </c>
      <c r="AB162" s="52"/>
      <c r="AC162" s="52"/>
      <c r="AD162" s="52"/>
      <c r="AE162" s="51"/>
    </row>
    <row r="163" spans="1:31" s="13" customFormat="1" ht="15" customHeight="1">
      <c r="A163" s="54">
        <f>A160+1</f>
        <v>92</v>
      </c>
      <c r="B163" s="148" t="s">
        <v>222</v>
      </c>
      <c r="C163" s="224">
        <f>D163+K163+M163+Q163+O163+S163+U163+W163+X163</f>
        <v>463129.6</v>
      </c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>
        <f>463129.6</f>
        <v>463129.6</v>
      </c>
      <c r="X163" s="224"/>
      <c r="Y163" s="224"/>
      <c r="Z163" s="224" t="s">
        <v>263</v>
      </c>
      <c r="AA163" s="53"/>
      <c r="AB163" s="52"/>
      <c r="AC163" s="52"/>
      <c r="AD163" s="52"/>
      <c r="AE163" s="51"/>
    </row>
    <row r="164" spans="1:31" s="13" customFormat="1" ht="15" customHeight="1">
      <c r="A164" s="274" t="s">
        <v>60</v>
      </c>
      <c r="B164" s="274"/>
      <c r="C164" s="224">
        <f aca="true" t="shared" si="38" ref="C164:X164">SUM(C163:C163)</f>
        <v>463129.6</v>
      </c>
      <c r="D164" s="224">
        <f t="shared" si="38"/>
        <v>0</v>
      </c>
      <c r="E164" s="224">
        <f t="shared" si="38"/>
        <v>0</v>
      </c>
      <c r="F164" s="224">
        <f t="shared" si="38"/>
        <v>0</v>
      </c>
      <c r="G164" s="224">
        <f t="shared" si="38"/>
        <v>0</v>
      </c>
      <c r="H164" s="224">
        <f t="shared" si="38"/>
        <v>0</v>
      </c>
      <c r="I164" s="224">
        <f t="shared" si="38"/>
        <v>0</v>
      </c>
      <c r="J164" s="224">
        <f t="shared" si="38"/>
        <v>0</v>
      </c>
      <c r="K164" s="224">
        <f t="shared" si="38"/>
        <v>0</v>
      </c>
      <c r="L164" s="224">
        <f t="shared" si="38"/>
        <v>0</v>
      </c>
      <c r="M164" s="224">
        <f t="shared" si="38"/>
        <v>0</v>
      </c>
      <c r="N164" s="224">
        <f t="shared" si="38"/>
        <v>0</v>
      </c>
      <c r="O164" s="224">
        <f t="shared" si="38"/>
        <v>0</v>
      </c>
      <c r="P164" s="224">
        <f t="shared" si="38"/>
        <v>0</v>
      </c>
      <c r="Q164" s="224">
        <f t="shared" si="38"/>
        <v>0</v>
      </c>
      <c r="R164" s="224">
        <f t="shared" si="38"/>
        <v>0</v>
      </c>
      <c r="S164" s="224">
        <f t="shared" si="38"/>
        <v>0</v>
      </c>
      <c r="T164" s="224">
        <f t="shared" si="38"/>
        <v>0</v>
      </c>
      <c r="U164" s="224">
        <f t="shared" si="38"/>
        <v>0</v>
      </c>
      <c r="V164" s="224">
        <f t="shared" si="38"/>
        <v>0</v>
      </c>
      <c r="W164" s="224">
        <f t="shared" si="38"/>
        <v>463129.6</v>
      </c>
      <c r="X164" s="224">
        <f t="shared" si="38"/>
        <v>0</v>
      </c>
      <c r="Y164" s="224"/>
      <c r="Z164" s="224"/>
      <c r="AA164" s="53"/>
      <c r="AB164" s="52"/>
      <c r="AC164" s="52"/>
      <c r="AD164" s="52"/>
      <c r="AE164" s="51"/>
    </row>
    <row r="165" spans="1:30" ht="12.75" customHeight="1">
      <c r="A165" s="259" t="s">
        <v>89</v>
      </c>
      <c r="B165" s="259"/>
      <c r="C165" s="259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303"/>
      <c r="S165" s="303"/>
      <c r="T165" s="303"/>
      <c r="U165" s="303"/>
      <c r="V165" s="303"/>
      <c r="W165" s="303"/>
      <c r="X165" s="303"/>
      <c r="Y165" s="234"/>
      <c r="Z165" s="234"/>
      <c r="AA165" s="53"/>
      <c r="AB165" s="52"/>
      <c r="AD165" s="52"/>
    </row>
    <row r="166" spans="1:30" ht="17.25" customHeight="1">
      <c r="A166" s="54">
        <f>A163+1</f>
        <v>93</v>
      </c>
      <c r="B166" s="82" t="s">
        <v>330</v>
      </c>
      <c r="C166" s="224">
        <f>D166+K166+M166+O166+Q166+S166+U166+V166+W166+X166</f>
        <v>842307.74</v>
      </c>
      <c r="D166" s="102">
        <f>E166+F166+G166+H166+I166</f>
        <v>0</v>
      </c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76"/>
      <c r="Q166" s="102"/>
      <c r="R166" s="224"/>
      <c r="S166" s="224"/>
      <c r="T166" s="224"/>
      <c r="U166" s="224"/>
      <c r="V166" s="224"/>
      <c r="W166" s="224">
        <f>Y166</f>
        <v>842307.74</v>
      </c>
      <c r="X166" s="224"/>
      <c r="Y166" s="84">
        <v>842307.74</v>
      </c>
      <c r="Z166" s="224" t="s">
        <v>93</v>
      </c>
      <c r="AA166" s="53"/>
      <c r="AB166" s="52"/>
      <c r="AD166" s="52"/>
    </row>
    <row r="167" spans="1:30" ht="12.75" customHeight="1">
      <c r="A167" s="274" t="s">
        <v>60</v>
      </c>
      <c r="B167" s="274"/>
      <c r="C167" s="224">
        <f aca="true" t="shared" si="39" ref="C167:X167">SUM(C166:C166)</f>
        <v>842307.74</v>
      </c>
      <c r="D167" s="224">
        <f t="shared" si="39"/>
        <v>0</v>
      </c>
      <c r="E167" s="224">
        <f t="shared" si="39"/>
        <v>0</v>
      </c>
      <c r="F167" s="224">
        <f t="shared" si="39"/>
        <v>0</v>
      </c>
      <c r="G167" s="224">
        <f t="shared" si="39"/>
        <v>0</v>
      </c>
      <c r="H167" s="224">
        <f t="shared" si="39"/>
        <v>0</v>
      </c>
      <c r="I167" s="224">
        <f t="shared" si="39"/>
        <v>0</v>
      </c>
      <c r="J167" s="224">
        <f t="shared" si="39"/>
        <v>0</v>
      </c>
      <c r="K167" s="224">
        <f t="shared" si="39"/>
        <v>0</v>
      </c>
      <c r="L167" s="224">
        <f t="shared" si="39"/>
        <v>0</v>
      </c>
      <c r="M167" s="224">
        <f t="shared" si="39"/>
        <v>0</v>
      </c>
      <c r="N167" s="224">
        <f t="shared" si="39"/>
        <v>0</v>
      </c>
      <c r="O167" s="224">
        <f t="shared" si="39"/>
        <v>0</v>
      </c>
      <c r="P167" s="224">
        <f t="shared" si="39"/>
        <v>0</v>
      </c>
      <c r="Q167" s="224">
        <f t="shared" si="39"/>
        <v>0</v>
      </c>
      <c r="R167" s="224">
        <f t="shared" si="39"/>
        <v>0</v>
      </c>
      <c r="S167" s="224">
        <f t="shared" si="39"/>
        <v>0</v>
      </c>
      <c r="T167" s="224">
        <f t="shared" si="39"/>
        <v>0</v>
      </c>
      <c r="U167" s="224">
        <f t="shared" si="39"/>
        <v>0</v>
      </c>
      <c r="V167" s="224">
        <f t="shared" si="39"/>
        <v>0</v>
      </c>
      <c r="W167" s="224">
        <f t="shared" si="39"/>
        <v>842307.74</v>
      </c>
      <c r="X167" s="224">
        <f t="shared" si="39"/>
        <v>0</v>
      </c>
      <c r="Y167" s="224"/>
      <c r="Z167" s="224"/>
      <c r="AA167" s="53">
        <f>E167+F167+G167+H167+I167+K167+M167+O167+Q167+S167+U167+W167+V167+X167</f>
        <v>842307.74</v>
      </c>
      <c r="AB167" s="52">
        <f>AA167-C167</f>
        <v>0</v>
      </c>
      <c r="AC167" s="52"/>
      <c r="AD167" s="52"/>
    </row>
    <row r="168" spans="1:30" ht="12.75" customHeight="1">
      <c r="A168" s="259" t="s">
        <v>306</v>
      </c>
      <c r="B168" s="259"/>
      <c r="C168" s="259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53"/>
      <c r="AB168" s="52"/>
      <c r="AC168" s="52"/>
      <c r="AD168" s="52"/>
    </row>
    <row r="169" spans="1:30" ht="12.75" customHeight="1">
      <c r="A169" s="54">
        <f>A166+1</f>
        <v>94</v>
      </c>
      <c r="B169" s="22" t="s">
        <v>307</v>
      </c>
      <c r="C169" s="224">
        <f aca="true" t="shared" si="40" ref="C169:C174">D169+K169+M169+O169+Q169+S169+U169+V169+W169+X169</f>
        <v>275442.26</v>
      </c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102">
        <v>275442.26</v>
      </c>
      <c r="X169" s="102"/>
      <c r="Y169" s="102"/>
      <c r="Z169" s="102" t="s">
        <v>313</v>
      </c>
      <c r="AA169" s="53"/>
      <c r="AB169" s="52"/>
      <c r="AC169" s="52"/>
      <c r="AD169" s="52"/>
    </row>
    <row r="170" spans="1:30" ht="12.75" customHeight="1">
      <c r="A170" s="54">
        <f>A169+1</f>
        <v>95</v>
      </c>
      <c r="B170" s="22" t="s">
        <v>308</v>
      </c>
      <c r="C170" s="224">
        <f t="shared" si="40"/>
        <v>293439.53</v>
      </c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102">
        <v>293439.53</v>
      </c>
      <c r="X170" s="102"/>
      <c r="Y170" s="102"/>
      <c r="Z170" s="102" t="s">
        <v>289</v>
      </c>
      <c r="AA170" s="53"/>
      <c r="AB170" s="52"/>
      <c r="AC170" s="52"/>
      <c r="AD170" s="52"/>
    </row>
    <row r="171" spans="1:30" ht="12.75" customHeight="1">
      <c r="A171" s="54">
        <f>A170+1</f>
        <v>96</v>
      </c>
      <c r="B171" s="22" t="s">
        <v>309</v>
      </c>
      <c r="C171" s="224">
        <f t="shared" si="40"/>
        <v>292020.56</v>
      </c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102">
        <v>292020.56</v>
      </c>
      <c r="X171" s="102"/>
      <c r="Y171" s="102"/>
      <c r="Z171" s="102" t="s">
        <v>289</v>
      </c>
      <c r="AA171" s="53"/>
      <c r="AB171" s="52"/>
      <c r="AC171" s="52"/>
      <c r="AD171" s="52"/>
    </row>
    <row r="172" spans="1:30" ht="12.75" customHeight="1">
      <c r="A172" s="54">
        <f>A171+1</f>
        <v>97</v>
      </c>
      <c r="B172" s="22" t="s">
        <v>310</v>
      </c>
      <c r="C172" s="224">
        <f t="shared" si="40"/>
        <v>317941.44</v>
      </c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102">
        <v>317941.44</v>
      </c>
      <c r="X172" s="102"/>
      <c r="Y172" s="102"/>
      <c r="Z172" s="102" t="s">
        <v>289</v>
      </c>
      <c r="AA172" s="53"/>
      <c r="AB172" s="52"/>
      <c r="AC172" s="52"/>
      <c r="AD172" s="52"/>
    </row>
    <row r="173" spans="1:30" ht="12.75" customHeight="1">
      <c r="A173" s="54">
        <f>A172+1</f>
        <v>98</v>
      </c>
      <c r="B173" s="22" t="s">
        <v>311</v>
      </c>
      <c r="C173" s="224">
        <f t="shared" si="40"/>
        <v>682668.66</v>
      </c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102">
        <v>682668.66</v>
      </c>
      <c r="X173" s="102"/>
      <c r="Y173" s="102"/>
      <c r="Z173" s="102" t="s">
        <v>93</v>
      </c>
      <c r="AA173" s="53"/>
      <c r="AB173" s="52"/>
      <c r="AC173" s="52"/>
      <c r="AD173" s="52"/>
    </row>
    <row r="174" spans="1:30" ht="12.75" customHeight="1">
      <c r="A174" s="54">
        <f>A173+1</f>
        <v>99</v>
      </c>
      <c r="B174" s="22" t="s">
        <v>312</v>
      </c>
      <c r="C174" s="224">
        <f t="shared" si="40"/>
        <v>805245.68</v>
      </c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102">
        <v>805245.68</v>
      </c>
      <c r="X174" s="102"/>
      <c r="Y174" s="102"/>
      <c r="Z174" s="102" t="s">
        <v>93</v>
      </c>
      <c r="AA174" s="53"/>
      <c r="AB174" s="52"/>
      <c r="AC174" s="52"/>
      <c r="AD174" s="52"/>
    </row>
    <row r="175" spans="1:30" ht="12.75" customHeight="1">
      <c r="A175" s="274" t="s">
        <v>60</v>
      </c>
      <c r="B175" s="274"/>
      <c r="C175" s="224">
        <f>SUM(C169:C174)</f>
        <v>2666758.1300000004</v>
      </c>
      <c r="D175" s="224">
        <v>0</v>
      </c>
      <c r="E175" s="224">
        <v>0</v>
      </c>
      <c r="F175" s="224">
        <v>0</v>
      </c>
      <c r="G175" s="224">
        <v>0</v>
      </c>
      <c r="H175" s="224">
        <v>0</v>
      </c>
      <c r="I175" s="224">
        <v>0</v>
      </c>
      <c r="J175" s="224">
        <v>0</v>
      </c>
      <c r="K175" s="224">
        <v>0</v>
      </c>
      <c r="L175" s="224">
        <v>0</v>
      </c>
      <c r="M175" s="224">
        <v>0</v>
      </c>
      <c r="N175" s="224">
        <v>0</v>
      </c>
      <c r="O175" s="224">
        <v>0</v>
      </c>
      <c r="P175" s="224">
        <v>0</v>
      </c>
      <c r="Q175" s="224">
        <v>0</v>
      </c>
      <c r="R175" s="224">
        <v>0</v>
      </c>
      <c r="S175" s="224">
        <v>0</v>
      </c>
      <c r="T175" s="224">
        <v>0</v>
      </c>
      <c r="U175" s="224">
        <v>0</v>
      </c>
      <c r="V175" s="224">
        <v>0</v>
      </c>
      <c r="W175" s="224">
        <f>SUM(W169:W174)</f>
        <v>2666758.1300000004</v>
      </c>
      <c r="X175" s="224">
        <f>C175-W175</f>
        <v>0</v>
      </c>
      <c r="Y175" s="102"/>
      <c r="Z175" s="102"/>
      <c r="AA175" s="53"/>
      <c r="AB175" s="52"/>
      <c r="AC175" s="52"/>
      <c r="AD175" s="52"/>
    </row>
    <row r="176" spans="1:30" ht="16.5" customHeight="1">
      <c r="A176" s="259" t="s">
        <v>243</v>
      </c>
      <c r="B176" s="259"/>
      <c r="C176" s="259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53"/>
      <c r="AB176" s="52"/>
      <c r="AC176" s="52"/>
      <c r="AD176" s="52"/>
    </row>
    <row r="177" spans="1:30" ht="16.5" customHeight="1">
      <c r="A177" s="54">
        <f>A174+1</f>
        <v>100</v>
      </c>
      <c r="B177" s="22" t="s">
        <v>220</v>
      </c>
      <c r="C177" s="224">
        <f>D177+K177+M177+O177+Q177+S177+U177+V177+W177+X177</f>
        <v>251439.06</v>
      </c>
      <c r="D177" s="224"/>
      <c r="E177" s="102"/>
      <c r="F177" s="102"/>
      <c r="G177" s="102"/>
      <c r="H177" s="102"/>
      <c r="I177" s="102"/>
      <c r="J177" s="102"/>
      <c r="K177" s="102"/>
      <c r="L177" s="224"/>
      <c r="M177" s="224"/>
      <c r="N177" s="224"/>
      <c r="O177" s="102"/>
      <c r="P177" s="224"/>
      <c r="Q177" s="224"/>
      <c r="R177" s="102"/>
      <c r="S177" s="102"/>
      <c r="T177" s="102"/>
      <c r="U177" s="102"/>
      <c r="V177" s="234"/>
      <c r="W177" s="224">
        <f>Y177</f>
        <v>251439.06</v>
      </c>
      <c r="X177" s="224"/>
      <c r="Y177" s="224">
        <f>143844.61+107594.45</f>
        <v>251439.06</v>
      </c>
      <c r="Z177" s="224" t="s">
        <v>281</v>
      </c>
      <c r="AA177" s="53"/>
      <c r="AB177" s="52"/>
      <c r="AC177" s="52"/>
      <c r="AD177" s="52"/>
    </row>
    <row r="178" spans="1:30" ht="16.5" customHeight="1">
      <c r="A178" s="274" t="s">
        <v>60</v>
      </c>
      <c r="B178" s="274"/>
      <c r="C178" s="224">
        <f aca="true" t="shared" si="41" ref="C178:X178">SUM(C177:C177)</f>
        <v>251439.06</v>
      </c>
      <c r="D178" s="224">
        <f t="shared" si="41"/>
        <v>0</v>
      </c>
      <c r="E178" s="224">
        <f t="shared" si="41"/>
        <v>0</v>
      </c>
      <c r="F178" s="224">
        <f t="shared" si="41"/>
        <v>0</v>
      </c>
      <c r="G178" s="224">
        <f t="shared" si="41"/>
        <v>0</v>
      </c>
      <c r="H178" s="224">
        <f t="shared" si="41"/>
        <v>0</v>
      </c>
      <c r="I178" s="224">
        <f t="shared" si="41"/>
        <v>0</v>
      </c>
      <c r="J178" s="224">
        <f t="shared" si="41"/>
        <v>0</v>
      </c>
      <c r="K178" s="224">
        <f t="shared" si="41"/>
        <v>0</v>
      </c>
      <c r="L178" s="224">
        <f t="shared" si="41"/>
        <v>0</v>
      </c>
      <c r="M178" s="224">
        <f t="shared" si="41"/>
        <v>0</v>
      </c>
      <c r="N178" s="224">
        <f t="shared" si="41"/>
        <v>0</v>
      </c>
      <c r="O178" s="224">
        <f t="shared" si="41"/>
        <v>0</v>
      </c>
      <c r="P178" s="224">
        <f t="shared" si="41"/>
        <v>0</v>
      </c>
      <c r="Q178" s="224">
        <f t="shared" si="41"/>
        <v>0</v>
      </c>
      <c r="R178" s="224">
        <f t="shared" si="41"/>
        <v>0</v>
      </c>
      <c r="S178" s="224">
        <f t="shared" si="41"/>
        <v>0</v>
      </c>
      <c r="T178" s="224">
        <f t="shared" si="41"/>
        <v>0</v>
      </c>
      <c r="U178" s="224">
        <f t="shared" si="41"/>
        <v>0</v>
      </c>
      <c r="V178" s="224">
        <f t="shared" si="41"/>
        <v>0</v>
      </c>
      <c r="W178" s="224">
        <f t="shared" si="41"/>
        <v>251439.06</v>
      </c>
      <c r="X178" s="224">
        <f t="shared" si="41"/>
        <v>0</v>
      </c>
      <c r="Y178" s="224"/>
      <c r="Z178" s="224"/>
      <c r="AA178" s="53"/>
      <c r="AB178" s="52"/>
      <c r="AC178" s="52"/>
      <c r="AD178" s="52"/>
    </row>
    <row r="179" spans="1:31" s="12" customFormat="1" ht="16.5" customHeight="1">
      <c r="A179" s="259" t="s">
        <v>77</v>
      </c>
      <c r="B179" s="259"/>
      <c r="C179" s="243">
        <f>C167+C155+C161+C178+C164+C175</f>
        <v>12638727.610000001</v>
      </c>
      <c r="D179" s="243">
        <f aca="true" t="shared" si="42" ref="D179:Y179">D167+D155+D161+D178+D164+D175</f>
        <v>0</v>
      </c>
      <c r="E179" s="243">
        <f t="shared" si="42"/>
        <v>0</v>
      </c>
      <c r="F179" s="243">
        <f t="shared" si="42"/>
        <v>0</v>
      </c>
      <c r="G179" s="243">
        <f t="shared" si="42"/>
        <v>0</v>
      </c>
      <c r="H179" s="243">
        <f t="shared" si="42"/>
        <v>0</v>
      </c>
      <c r="I179" s="243">
        <f t="shared" si="42"/>
        <v>0</v>
      </c>
      <c r="J179" s="243">
        <f t="shared" si="42"/>
        <v>0</v>
      </c>
      <c r="K179" s="243">
        <f t="shared" si="42"/>
        <v>0</v>
      </c>
      <c r="L179" s="243">
        <f t="shared" si="42"/>
        <v>0</v>
      </c>
      <c r="M179" s="243">
        <f t="shared" si="42"/>
        <v>0</v>
      </c>
      <c r="N179" s="243">
        <f t="shared" si="42"/>
        <v>0</v>
      </c>
      <c r="O179" s="243">
        <f t="shared" si="42"/>
        <v>0</v>
      </c>
      <c r="P179" s="243">
        <f t="shared" si="42"/>
        <v>0</v>
      </c>
      <c r="Q179" s="243">
        <f t="shared" si="42"/>
        <v>0</v>
      </c>
      <c r="R179" s="243">
        <f t="shared" si="42"/>
        <v>0</v>
      </c>
      <c r="S179" s="243">
        <f t="shared" si="42"/>
        <v>0</v>
      </c>
      <c r="T179" s="243">
        <f t="shared" si="42"/>
        <v>0</v>
      </c>
      <c r="U179" s="243">
        <f t="shared" si="42"/>
        <v>0</v>
      </c>
      <c r="V179" s="243">
        <f t="shared" si="42"/>
        <v>0</v>
      </c>
      <c r="W179" s="243">
        <f t="shared" si="42"/>
        <v>12638727.610000001</v>
      </c>
      <c r="X179" s="243">
        <f t="shared" si="42"/>
        <v>0</v>
      </c>
      <c r="Y179" s="243">
        <f t="shared" si="42"/>
        <v>0</v>
      </c>
      <c r="Z179" s="243"/>
      <c r="AA179" s="53"/>
      <c r="AB179" s="52"/>
      <c r="AC179" s="11"/>
      <c r="AD179" s="52"/>
      <c r="AE179" s="9"/>
    </row>
    <row r="180" spans="1:31" s="12" customFormat="1" ht="16.5" customHeight="1">
      <c r="A180" s="328" t="s">
        <v>78</v>
      </c>
      <c r="B180" s="328"/>
      <c r="C180" s="328"/>
      <c r="D180" s="328"/>
      <c r="E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243"/>
      <c r="Z180" s="243"/>
      <c r="AA180" s="53"/>
      <c r="AB180" s="52"/>
      <c r="AD180" s="52"/>
      <c r="AE180" s="51"/>
    </row>
    <row r="181" spans="1:31" s="12" customFormat="1" ht="16.5" customHeight="1">
      <c r="A181" s="259" t="s">
        <v>244</v>
      </c>
      <c r="B181" s="259"/>
      <c r="C181" s="259"/>
      <c r="D181" s="243"/>
      <c r="E181" s="243"/>
      <c r="F181" s="243"/>
      <c r="G181" s="243"/>
      <c r="H181" s="243"/>
      <c r="I181" s="243"/>
      <c r="J181" s="243"/>
      <c r="K181" s="243"/>
      <c r="L181" s="243"/>
      <c r="M181" s="243"/>
      <c r="N181" s="243"/>
      <c r="O181" s="243"/>
      <c r="P181" s="243"/>
      <c r="Q181" s="243"/>
      <c r="R181" s="243"/>
      <c r="S181" s="243"/>
      <c r="T181" s="243"/>
      <c r="U181" s="243"/>
      <c r="V181" s="243"/>
      <c r="W181" s="243"/>
      <c r="X181" s="243"/>
      <c r="Y181" s="243"/>
      <c r="Z181" s="243"/>
      <c r="AA181" s="53"/>
      <c r="AB181" s="52"/>
      <c r="AD181" s="52"/>
      <c r="AE181" s="51"/>
    </row>
    <row r="182" spans="1:31" s="12" customFormat="1" ht="18" customHeight="1">
      <c r="A182" s="54">
        <f>A177+1</f>
        <v>101</v>
      </c>
      <c r="B182" s="207" t="s">
        <v>225</v>
      </c>
      <c r="C182" s="241">
        <f>D182+K182+M182+Q182+O182+S182+U182+W182+X182</f>
        <v>158959.07</v>
      </c>
      <c r="D182" s="224"/>
      <c r="E182" s="224"/>
      <c r="F182" s="224"/>
      <c r="G182" s="224"/>
      <c r="H182" s="224"/>
      <c r="I182" s="224"/>
      <c r="J182" s="224"/>
      <c r="K182" s="224"/>
      <c r="L182" s="224"/>
      <c r="M182" s="102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>
        <f>Y182</f>
        <v>158959.07</v>
      </c>
      <c r="X182" s="243"/>
      <c r="Y182" s="224">
        <v>158959.07</v>
      </c>
      <c r="Z182" s="224" t="s">
        <v>263</v>
      </c>
      <c r="AA182" s="53"/>
      <c r="AB182" s="52"/>
      <c r="AD182" s="52"/>
      <c r="AE182" s="51"/>
    </row>
    <row r="183" spans="1:31" s="12" customFormat="1" ht="16.5" customHeight="1">
      <c r="A183" s="274" t="s">
        <v>60</v>
      </c>
      <c r="B183" s="274"/>
      <c r="C183" s="224">
        <f>C182</f>
        <v>158959.07</v>
      </c>
      <c r="D183" s="224">
        <v>0</v>
      </c>
      <c r="E183" s="224">
        <v>0</v>
      </c>
      <c r="F183" s="224">
        <v>0</v>
      </c>
      <c r="G183" s="224">
        <v>0</v>
      </c>
      <c r="H183" s="224">
        <v>0</v>
      </c>
      <c r="I183" s="224">
        <v>0</v>
      </c>
      <c r="J183" s="224">
        <v>0</v>
      </c>
      <c r="K183" s="224">
        <v>0</v>
      </c>
      <c r="L183" s="224">
        <v>0</v>
      </c>
      <c r="M183" s="224">
        <v>0</v>
      </c>
      <c r="N183" s="224">
        <v>0</v>
      </c>
      <c r="O183" s="224">
        <v>0</v>
      </c>
      <c r="P183" s="224">
        <v>0</v>
      </c>
      <c r="Q183" s="224">
        <v>0</v>
      </c>
      <c r="R183" s="224">
        <v>0</v>
      </c>
      <c r="S183" s="224">
        <v>0</v>
      </c>
      <c r="T183" s="224">
        <v>0</v>
      </c>
      <c r="U183" s="224">
        <v>0</v>
      </c>
      <c r="V183" s="224">
        <v>0</v>
      </c>
      <c r="W183" s="224">
        <f>W182</f>
        <v>158959.07</v>
      </c>
      <c r="X183" s="224">
        <f>C183-W183</f>
        <v>0</v>
      </c>
      <c r="Y183" s="243"/>
      <c r="Z183" s="243"/>
      <c r="AA183" s="53"/>
      <c r="AB183" s="52"/>
      <c r="AD183" s="52"/>
      <c r="AE183" s="51"/>
    </row>
    <row r="184" spans="1:31" s="12" customFormat="1" ht="16.5" customHeight="1">
      <c r="A184" s="259" t="s">
        <v>282</v>
      </c>
      <c r="B184" s="259"/>
      <c r="C184" s="259"/>
      <c r="D184" s="243"/>
      <c r="E184" s="243"/>
      <c r="F184" s="243"/>
      <c r="G184" s="243"/>
      <c r="H184" s="243"/>
      <c r="I184" s="243"/>
      <c r="J184" s="243"/>
      <c r="K184" s="243"/>
      <c r="L184" s="243"/>
      <c r="M184" s="243"/>
      <c r="N184" s="243"/>
      <c r="O184" s="243"/>
      <c r="P184" s="243"/>
      <c r="Q184" s="243"/>
      <c r="R184" s="243"/>
      <c r="S184" s="243"/>
      <c r="T184" s="243"/>
      <c r="U184" s="243"/>
      <c r="V184" s="243"/>
      <c r="W184" s="243"/>
      <c r="X184" s="243"/>
      <c r="Y184" s="243"/>
      <c r="Z184" s="243"/>
      <c r="AA184" s="53"/>
      <c r="AB184" s="52"/>
      <c r="AD184" s="52"/>
      <c r="AE184" s="51"/>
    </row>
    <row r="185" spans="1:31" s="12" customFormat="1" ht="16.5" customHeight="1">
      <c r="A185" s="54">
        <f>A182+1</f>
        <v>102</v>
      </c>
      <c r="B185" s="42" t="s">
        <v>226</v>
      </c>
      <c r="C185" s="241">
        <f aca="true" t="shared" si="43" ref="C185:C194">D185+K185+M185+Q185+O185+S185+U185+W185+X185</f>
        <v>203324.41</v>
      </c>
      <c r="D185" s="77"/>
      <c r="E185" s="77"/>
      <c r="F185" s="77"/>
      <c r="G185" s="77"/>
      <c r="H185" s="77"/>
      <c r="I185" s="77"/>
      <c r="J185" s="77"/>
      <c r="K185" s="77"/>
      <c r="L185" s="246"/>
      <c r="M185" s="246"/>
      <c r="N185" s="224"/>
      <c r="O185" s="224"/>
      <c r="P185" s="224"/>
      <c r="Q185" s="222"/>
      <c r="R185" s="224"/>
      <c r="S185" s="243"/>
      <c r="T185" s="243"/>
      <c r="U185" s="243"/>
      <c r="V185" s="243"/>
      <c r="W185" s="224">
        <f>Y185</f>
        <v>203324.41</v>
      </c>
      <c r="X185" s="243"/>
      <c r="Y185" s="84">
        <v>203324.41</v>
      </c>
      <c r="Z185" s="102" t="s">
        <v>263</v>
      </c>
      <c r="AA185" s="53"/>
      <c r="AB185" s="52"/>
      <c r="AD185" s="52"/>
      <c r="AE185" s="51"/>
    </row>
    <row r="186" spans="1:31" s="12" customFormat="1" ht="16.5" customHeight="1">
      <c r="A186" s="54">
        <f aca="true" t="shared" si="44" ref="A186:A194">A185+1</f>
        <v>103</v>
      </c>
      <c r="B186" s="42" t="s">
        <v>227</v>
      </c>
      <c r="C186" s="241">
        <f t="shared" si="43"/>
        <v>225309.44</v>
      </c>
      <c r="D186" s="77"/>
      <c r="E186" s="77"/>
      <c r="F186" s="77"/>
      <c r="G186" s="77"/>
      <c r="H186" s="77"/>
      <c r="I186" s="77"/>
      <c r="J186" s="77"/>
      <c r="K186" s="77"/>
      <c r="L186" s="246"/>
      <c r="M186" s="246"/>
      <c r="N186" s="224"/>
      <c r="O186" s="224"/>
      <c r="P186" s="224"/>
      <c r="Q186" s="222"/>
      <c r="R186" s="224"/>
      <c r="S186" s="243"/>
      <c r="T186" s="243"/>
      <c r="U186" s="243"/>
      <c r="V186" s="243"/>
      <c r="W186" s="224">
        <f aca="true" t="shared" si="45" ref="W186:W194">Y186</f>
        <v>225309.44</v>
      </c>
      <c r="X186" s="243"/>
      <c r="Y186" s="84">
        <v>225309.44</v>
      </c>
      <c r="Z186" s="102" t="s">
        <v>263</v>
      </c>
      <c r="AA186" s="53"/>
      <c r="AB186" s="52"/>
      <c r="AD186" s="52"/>
      <c r="AE186" s="51"/>
    </row>
    <row r="187" spans="1:31" s="12" customFormat="1" ht="16.5" customHeight="1">
      <c r="A187" s="54">
        <f t="shared" si="44"/>
        <v>104</v>
      </c>
      <c r="B187" s="42" t="s">
        <v>228</v>
      </c>
      <c r="C187" s="241">
        <f t="shared" si="43"/>
        <v>337229</v>
      </c>
      <c r="D187" s="77"/>
      <c r="E187" s="77"/>
      <c r="F187" s="77"/>
      <c r="G187" s="77"/>
      <c r="H187" s="77"/>
      <c r="I187" s="77"/>
      <c r="J187" s="77"/>
      <c r="K187" s="77"/>
      <c r="L187" s="246"/>
      <c r="M187" s="246"/>
      <c r="N187" s="224"/>
      <c r="O187" s="224"/>
      <c r="P187" s="224"/>
      <c r="Q187" s="222"/>
      <c r="R187" s="224"/>
      <c r="S187" s="243"/>
      <c r="T187" s="243"/>
      <c r="U187" s="243"/>
      <c r="V187" s="243"/>
      <c r="W187" s="224">
        <f t="shared" si="45"/>
        <v>337229</v>
      </c>
      <c r="X187" s="243"/>
      <c r="Y187" s="84">
        <v>337229</v>
      </c>
      <c r="Z187" s="102" t="s">
        <v>263</v>
      </c>
      <c r="AA187" s="53"/>
      <c r="AB187" s="52"/>
      <c r="AD187" s="52"/>
      <c r="AE187" s="51"/>
    </row>
    <row r="188" spans="1:31" s="12" customFormat="1" ht="16.5" customHeight="1">
      <c r="A188" s="54">
        <f t="shared" si="44"/>
        <v>105</v>
      </c>
      <c r="B188" s="42" t="s">
        <v>229</v>
      </c>
      <c r="C188" s="241">
        <f t="shared" si="43"/>
        <v>179677.9</v>
      </c>
      <c r="D188" s="77"/>
      <c r="E188" s="77"/>
      <c r="F188" s="77"/>
      <c r="G188" s="77"/>
      <c r="H188" s="77"/>
      <c r="I188" s="77"/>
      <c r="J188" s="77"/>
      <c r="K188" s="77"/>
      <c r="L188" s="246"/>
      <c r="M188" s="246"/>
      <c r="N188" s="224"/>
      <c r="O188" s="224"/>
      <c r="P188" s="224"/>
      <c r="Q188" s="222"/>
      <c r="R188" s="224"/>
      <c r="S188" s="243"/>
      <c r="T188" s="243"/>
      <c r="U188" s="243"/>
      <c r="V188" s="243"/>
      <c r="W188" s="224">
        <f t="shared" si="45"/>
        <v>179677.9</v>
      </c>
      <c r="X188" s="243"/>
      <c r="Y188" s="84">
        <v>179677.9</v>
      </c>
      <c r="Z188" s="102" t="s">
        <v>263</v>
      </c>
      <c r="AA188" s="53"/>
      <c r="AB188" s="52"/>
      <c r="AD188" s="52"/>
      <c r="AE188" s="51"/>
    </row>
    <row r="189" spans="1:31" s="12" customFormat="1" ht="16.5" customHeight="1">
      <c r="A189" s="54">
        <f t="shared" si="44"/>
        <v>106</v>
      </c>
      <c r="B189" s="42" t="s">
        <v>354</v>
      </c>
      <c r="C189" s="241">
        <f t="shared" si="43"/>
        <v>825877.37</v>
      </c>
      <c r="D189" s="77"/>
      <c r="E189" s="77"/>
      <c r="F189" s="77"/>
      <c r="G189" s="77"/>
      <c r="H189" s="77"/>
      <c r="I189" s="77"/>
      <c r="J189" s="77"/>
      <c r="K189" s="77"/>
      <c r="L189" s="246"/>
      <c r="M189" s="246"/>
      <c r="N189" s="224"/>
      <c r="O189" s="224"/>
      <c r="P189" s="209"/>
      <c r="Q189" s="222"/>
      <c r="R189" s="224"/>
      <c r="S189" s="243"/>
      <c r="T189" s="243"/>
      <c r="U189" s="243"/>
      <c r="V189" s="243"/>
      <c r="W189" s="224">
        <f t="shared" si="45"/>
        <v>825877.37</v>
      </c>
      <c r="X189" s="243"/>
      <c r="Y189" s="84">
        <v>825877.37</v>
      </c>
      <c r="Z189" s="102" t="s">
        <v>263</v>
      </c>
      <c r="AA189" s="53"/>
      <c r="AB189" s="52"/>
      <c r="AD189" s="52"/>
      <c r="AE189" s="51"/>
    </row>
    <row r="190" spans="1:31" s="12" customFormat="1" ht="16.5" customHeight="1">
      <c r="A190" s="54">
        <f t="shared" si="44"/>
        <v>107</v>
      </c>
      <c r="B190" s="42" t="s">
        <v>355</v>
      </c>
      <c r="C190" s="241">
        <f t="shared" si="43"/>
        <v>162916.74</v>
      </c>
      <c r="D190" s="77"/>
      <c r="E190" s="77"/>
      <c r="F190" s="77"/>
      <c r="G190" s="77"/>
      <c r="H190" s="77"/>
      <c r="I190" s="77"/>
      <c r="J190" s="77"/>
      <c r="K190" s="77"/>
      <c r="L190" s="246"/>
      <c r="M190" s="246"/>
      <c r="N190" s="224"/>
      <c r="O190" s="224"/>
      <c r="P190" s="209"/>
      <c r="Q190" s="222"/>
      <c r="R190" s="224"/>
      <c r="S190" s="243"/>
      <c r="T190" s="243"/>
      <c r="U190" s="243"/>
      <c r="V190" s="243"/>
      <c r="W190" s="224">
        <f t="shared" si="45"/>
        <v>162916.74</v>
      </c>
      <c r="X190" s="243"/>
      <c r="Y190" s="84">
        <v>162916.74</v>
      </c>
      <c r="Z190" s="102" t="s">
        <v>263</v>
      </c>
      <c r="AA190" s="53"/>
      <c r="AB190" s="52"/>
      <c r="AD190" s="52"/>
      <c r="AE190" s="51"/>
    </row>
    <row r="191" spans="1:31" s="12" customFormat="1" ht="16.5" customHeight="1">
      <c r="A191" s="54">
        <f t="shared" si="44"/>
        <v>108</v>
      </c>
      <c r="B191" s="42" t="s">
        <v>356</v>
      </c>
      <c r="C191" s="241">
        <f t="shared" si="43"/>
        <v>210394.24</v>
      </c>
      <c r="D191" s="77"/>
      <c r="E191" s="77"/>
      <c r="F191" s="77"/>
      <c r="G191" s="77"/>
      <c r="H191" s="77"/>
      <c r="I191" s="77"/>
      <c r="J191" s="77"/>
      <c r="K191" s="77"/>
      <c r="L191" s="198"/>
      <c r="M191" s="198"/>
      <c r="N191" s="224"/>
      <c r="O191" s="224"/>
      <c r="P191" s="209"/>
      <c r="Q191" s="222"/>
      <c r="R191" s="224"/>
      <c r="S191" s="243"/>
      <c r="T191" s="243"/>
      <c r="U191" s="243"/>
      <c r="V191" s="243"/>
      <c r="W191" s="224">
        <f t="shared" si="45"/>
        <v>210394.24</v>
      </c>
      <c r="X191" s="243"/>
      <c r="Y191" s="84">
        <v>210394.24</v>
      </c>
      <c r="Z191" s="102" t="s">
        <v>263</v>
      </c>
      <c r="AA191" s="53"/>
      <c r="AB191" s="52"/>
      <c r="AD191" s="52"/>
      <c r="AE191" s="51"/>
    </row>
    <row r="192" spans="1:31" s="12" customFormat="1" ht="16.5" customHeight="1">
      <c r="A192" s="54">
        <f t="shared" si="44"/>
        <v>109</v>
      </c>
      <c r="B192" s="42" t="s">
        <v>357</v>
      </c>
      <c r="C192" s="241">
        <f t="shared" si="43"/>
        <v>227238.61</v>
      </c>
      <c r="D192" s="77"/>
      <c r="E192" s="77"/>
      <c r="F192" s="77"/>
      <c r="G192" s="77"/>
      <c r="H192" s="77"/>
      <c r="I192" s="77"/>
      <c r="J192" s="77"/>
      <c r="K192" s="77"/>
      <c r="L192" s="198"/>
      <c r="M192" s="198"/>
      <c r="N192" s="77"/>
      <c r="O192" s="224"/>
      <c r="P192" s="209"/>
      <c r="Q192" s="222"/>
      <c r="R192" s="224"/>
      <c r="S192" s="243"/>
      <c r="T192" s="243"/>
      <c r="U192" s="243"/>
      <c r="V192" s="243"/>
      <c r="W192" s="224">
        <f t="shared" si="45"/>
        <v>227238.61</v>
      </c>
      <c r="X192" s="243"/>
      <c r="Y192" s="84">
        <v>227238.61</v>
      </c>
      <c r="Z192" s="102" t="s">
        <v>263</v>
      </c>
      <c r="AA192" s="53"/>
      <c r="AB192" s="52"/>
      <c r="AD192" s="52"/>
      <c r="AE192" s="51"/>
    </row>
    <row r="193" spans="1:31" s="12" customFormat="1" ht="16.5" customHeight="1">
      <c r="A193" s="54">
        <f t="shared" si="44"/>
        <v>110</v>
      </c>
      <c r="B193" s="85" t="s">
        <v>358</v>
      </c>
      <c r="C193" s="241">
        <f t="shared" si="43"/>
        <v>408379.98</v>
      </c>
      <c r="D193" s="77"/>
      <c r="E193" s="77"/>
      <c r="F193" s="77"/>
      <c r="G193" s="77"/>
      <c r="H193" s="77"/>
      <c r="I193" s="77"/>
      <c r="J193" s="77"/>
      <c r="K193" s="77"/>
      <c r="L193" s="246"/>
      <c r="M193" s="246"/>
      <c r="N193" s="209"/>
      <c r="O193" s="224"/>
      <c r="P193" s="209"/>
      <c r="Q193" s="222"/>
      <c r="R193" s="224"/>
      <c r="S193" s="243"/>
      <c r="T193" s="243"/>
      <c r="U193" s="243"/>
      <c r="V193" s="243"/>
      <c r="W193" s="224">
        <f t="shared" si="45"/>
        <v>408379.98</v>
      </c>
      <c r="X193" s="243"/>
      <c r="Y193" s="84">
        <v>408379.98</v>
      </c>
      <c r="Z193" s="102" t="s">
        <v>263</v>
      </c>
      <c r="AA193" s="53"/>
      <c r="AB193" s="52"/>
      <c r="AD193" s="52"/>
      <c r="AE193" s="51"/>
    </row>
    <row r="194" spans="1:31" s="12" customFormat="1" ht="16.5" customHeight="1">
      <c r="A194" s="54">
        <f t="shared" si="44"/>
        <v>111</v>
      </c>
      <c r="B194" s="42" t="s">
        <v>233</v>
      </c>
      <c r="C194" s="241">
        <f t="shared" si="43"/>
        <v>230668.97</v>
      </c>
      <c r="D194" s="77"/>
      <c r="E194" s="77"/>
      <c r="F194" s="77"/>
      <c r="G194" s="77"/>
      <c r="H194" s="77"/>
      <c r="I194" s="77"/>
      <c r="J194" s="77"/>
      <c r="K194" s="77"/>
      <c r="L194" s="246"/>
      <c r="M194" s="246"/>
      <c r="N194" s="209"/>
      <c r="O194" s="224"/>
      <c r="P194" s="209"/>
      <c r="Q194" s="222"/>
      <c r="R194" s="224"/>
      <c r="S194" s="243"/>
      <c r="T194" s="243"/>
      <c r="U194" s="243"/>
      <c r="V194" s="243"/>
      <c r="W194" s="224">
        <f t="shared" si="45"/>
        <v>230668.97</v>
      </c>
      <c r="X194" s="243"/>
      <c r="Y194" s="84">
        <v>230668.97</v>
      </c>
      <c r="Z194" s="102" t="s">
        <v>263</v>
      </c>
      <c r="AA194" s="53"/>
      <c r="AB194" s="52"/>
      <c r="AD194" s="52"/>
      <c r="AE194" s="51"/>
    </row>
    <row r="195" spans="1:31" s="12" customFormat="1" ht="16.5" customHeight="1">
      <c r="A195" s="274" t="s">
        <v>60</v>
      </c>
      <c r="B195" s="274"/>
      <c r="C195" s="224">
        <f>SUM(C185:C194)</f>
        <v>3011016.66</v>
      </c>
      <c r="D195" s="224">
        <v>0</v>
      </c>
      <c r="E195" s="224">
        <v>0</v>
      </c>
      <c r="F195" s="224">
        <v>0</v>
      </c>
      <c r="G195" s="224">
        <v>0</v>
      </c>
      <c r="H195" s="224">
        <v>0</v>
      </c>
      <c r="I195" s="224">
        <v>0</v>
      </c>
      <c r="J195" s="224">
        <v>0</v>
      </c>
      <c r="K195" s="224">
        <v>0</v>
      </c>
      <c r="L195" s="224">
        <v>0</v>
      </c>
      <c r="M195" s="224">
        <v>0</v>
      </c>
      <c r="N195" s="224">
        <v>0</v>
      </c>
      <c r="O195" s="224">
        <v>0</v>
      </c>
      <c r="P195" s="224">
        <v>0</v>
      </c>
      <c r="Q195" s="224">
        <v>0</v>
      </c>
      <c r="R195" s="224">
        <v>0</v>
      </c>
      <c r="S195" s="224">
        <v>0</v>
      </c>
      <c r="T195" s="224">
        <v>0</v>
      </c>
      <c r="U195" s="224">
        <v>0</v>
      </c>
      <c r="V195" s="224">
        <v>0</v>
      </c>
      <c r="W195" s="224">
        <f>SUM(W185:W194)</f>
        <v>3011016.66</v>
      </c>
      <c r="X195" s="224">
        <f>C195-W195</f>
        <v>0</v>
      </c>
      <c r="Y195" s="243"/>
      <c r="Z195" s="243"/>
      <c r="AA195" s="53"/>
      <c r="AB195" s="52"/>
      <c r="AD195" s="52"/>
      <c r="AE195" s="51"/>
    </row>
    <row r="196" spans="1:30" ht="16.5" customHeight="1">
      <c r="A196" s="259" t="s">
        <v>90</v>
      </c>
      <c r="B196" s="259"/>
      <c r="C196" s="259"/>
      <c r="D196" s="303"/>
      <c r="E196" s="303"/>
      <c r="F196" s="303"/>
      <c r="G196" s="303"/>
      <c r="H196" s="303"/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234"/>
      <c r="Z196" s="234"/>
      <c r="AA196" s="53"/>
      <c r="AB196" s="52"/>
      <c r="AD196" s="52"/>
    </row>
    <row r="197" spans="1:30" ht="16.5" customHeight="1">
      <c r="A197" s="72">
        <f>A194+1</f>
        <v>112</v>
      </c>
      <c r="B197" s="22" t="s">
        <v>122</v>
      </c>
      <c r="C197" s="224">
        <f>D197+K197+M197+O197+Q197+S197+U197+V197+W197+X197</f>
        <v>116386.49</v>
      </c>
      <c r="D197" s="234"/>
      <c r="E197" s="142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102"/>
      <c r="W197" s="224">
        <f>Y198</f>
        <v>116386.49</v>
      </c>
      <c r="X197" s="224"/>
      <c r="Y197" s="224"/>
      <c r="Z197" s="224"/>
      <c r="AA197" s="53" t="s">
        <v>94</v>
      </c>
      <c r="AB197" s="52"/>
      <c r="AC197" s="52"/>
      <c r="AD197" s="52"/>
    </row>
    <row r="198" spans="1:30" ht="16.5" customHeight="1">
      <c r="A198" s="274" t="s">
        <v>60</v>
      </c>
      <c r="B198" s="274"/>
      <c r="C198" s="224">
        <f aca="true" t="shared" si="46" ref="C198:K198">SUM(C197:C197)</f>
        <v>116386.49</v>
      </c>
      <c r="D198" s="224">
        <f t="shared" si="46"/>
        <v>0</v>
      </c>
      <c r="E198" s="224">
        <f t="shared" si="46"/>
        <v>0</v>
      </c>
      <c r="F198" s="224">
        <f t="shared" si="46"/>
        <v>0</v>
      </c>
      <c r="G198" s="224">
        <f t="shared" si="46"/>
        <v>0</v>
      </c>
      <c r="H198" s="224">
        <f t="shared" si="46"/>
        <v>0</v>
      </c>
      <c r="I198" s="224">
        <f t="shared" si="46"/>
        <v>0</v>
      </c>
      <c r="J198" s="224">
        <f t="shared" si="46"/>
        <v>0</v>
      </c>
      <c r="K198" s="224">
        <f t="shared" si="46"/>
        <v>0</v>
      </c>
      <c r="L198" s="224">
        <v>0</v>
      </c>
      <c r="M198" s="224">
        <f aca="true" t="shared" si="47" ref="M198:X198">SUM(M197:M197)</f>
        <v>0</v>
      </c>
      <c r="N198" s="224">
        <f t="shared" si="47"/>
        <v>0</v>
      </c>
      <c r="O198" s="224">
        <f t="shared" si="47"/>
        <v>0</v>
      </c>
      <c r="P198" s="224">
        <f t="shared" si="47"/>
        <v>0</v>
      </c>
      <c r="Q198" s="224">
        <f t="shared" si="47"/>
        <v>0</v>
      </c>
      <c r="R198" s="224">
        <f t="shared" si="47"/>
        <v>0</v>
      </c>
      <c r="S198" s="224">
        <f t="shared" si="47"/>
        <v>0</v>
      </c>
      <c r="T198" s="224">
        <f t="shared" si="47"/>
        <v>0</v>
      </c>
      <c r="U198" s="224">
        <f t="shared" si="47"/>
        <v>0</v>
      </c>
      <c r="V198" s="224">
        <f t="shared" si="47"/>
        <v>0</v>
      </c>
      <c r="W198" s="224">
        <f t="shared" si="47"/>
        <v>116386.49</v>
      </c>
      <c r="X198" s="224">
        <f t="shared" si="47"/>
        <v>0</v>
      </c>
      <c r="Y198" s="84">
        <v>116386.49</v>
      </c>
      <c r="Z198" s="102" t="s">
        <v>267</v>
      </c>
      <c r="AA198" s="53">
        <f>E198+F198+G198+H198+I198+K198+M198+O198+Q198+S198+U198+W198+V198+X198</f>
        <v>116386.49</v>
      </c>
      <c r="AB198" s="52">
        <f>AA198-C198</f>
        <v>0</v>
      </c>
      <c r="AC198" s="52"/>
      <c r="AD198" s="52"/>
    </row>
    <row r="199" spans="1:30" ht="16.5" customHeight="1">
      <c r="A199" s="259" t="s">
        <v>261</v>
      </c>
      <c r="B199" s="259"/>
      <c r="C199" s="259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3"/>
      <c r="O199" s="303"/>
      <c r="P199" s="303"/>
      <c r="Q199" s="303"/>
      <c r="R199" s="303"/>
      <c r="S199" s="303"/>
      <c r="T199" s="303"/>
      <c r="U199" s="303"/>
      <c r="V199" s="303"/>
      <c r="W199" s="303"/>
      <c r="X199" s="303"/>
      <c r="Y199" s="234"/>
      <c r="Z199" s="234"/>
      <c r="AA199" s="53"/>
      <c r="AB199" s="52"/>
      <c r="AD199" s="52"/>
    </row>
    <row r="200" spans="1:30" ht="30" customHeight="1">
      <c r="A200" s="72">
        <f>A197+1</f>
        <v>113</v>
      </c>
      <c r="B200" s="35" t="s">
        <v>359</v>
      </c>
      <c r="C200" s="241">
        <f>D200+K200+M200+O200+Q200+S200+U200+V200+W200+X200</f>
        <v>851840.57</v>
      </c>
      <c r="D200" s="234"/>
      <c r="E200" s="102"/>
      <c r="F200" s="102"/>
      <c r="G200" s="176"/>
      <c r="H200" s="242"/>
      <c r="I200" s="102"/>
      <c r="J200" s="102"/>
      <c r="K200" s="102"/>
      <c r="L200" s="102"/>
      <c r="M200" s="224"/>
      <c r="N200" s="102"/>
      <c r="O200" s="102"/>
      <c r="P200" s="102"/>
      <c r="Q200" s="176"/>
      <c r="R200" s="102"/>
      <c r="S200" s="176"/>
      <c r="T200" s="242"/>
      <c r="U200" s="102"/>
      <c r="V200" s="102"/>
      <c r="W200" s="102">
        <v>851840.57</v>
      </c>
      <c r="X200" s="102"/>
      <c r="Y200" s="102">
        <f>475371.3+223473.29+214594.23</f>
        <v>913438.82</v>
      </c>
      <c r="Z200" s="102" t="s">
        <v>325</v>
      </c>
      <c r="AA200" s="53" t="s">
        <v>92</v>
      </c>
      <c r="AB200" s="52"/>
      <c r="AD200" s="52"/>
    </row>
    <row r="201" spans="1:30" ht="16.5" customHeight="1">
      <c r="A201" s="72">
        <f>A200+1</f>
        <v>114</v>
      </c>
      <c r="B201" s="35" t="s">
        <v>360</v>
      </c>
      <c r="C201" s="241">
        <f>D201+K201+M201+O201+Q201+S201+U201+V201+W201+X201</f>
        <v>195048.68</v>
      </c>
      <c r="D201" s="234"/>
      <c r="E201" s="102"/>
      <c r="F201" s="102"/>
      <c r="G201" s="236"/>
      <c r="H201" s="102"/>
      <c r="I201" s="102"/>
      <c r="J201" s="102"/>
      <c r="K201" s="102"/>
      <c r="L201" s="102"/>
      <c r="M201" s="176"/>
      <c r="N201" s="242"/>
      <c r="O201" s="102"/>
      <c r="P201" s="102"/>
      <c r="Q201" s="176"/>
      <c r="R201" s="102"/>
      <c r="S201" s="176"/>
      <c r="T201" s="242"/>
      <c r="U201" s="102"/>
      <c r="V201" s="102"/>
      <c r="W201" s="102">
        <f>Y201</f>
        <v>195048.68</v>
      </c>
      <c r="X201" s="102"/>
      <c r="Y201" s="102">
        <v>195048.68</v>
      </c>
      <c r="Z201" s="102" t="s">
        <v>263</v>
      </c>
      <c r="AA201" s="53" t="s">
        <v>96</v>
      </c>
      <c r="AB201" s="52"/>
      <c r="AD201" s="52"/>
    </row>
    <row r="202" spans="1:30" ht="16.5" customHeight="1">
      <c r="A202" s="72">
        <f>A201+1</f>
        <v>115</v>
      </c>
      <c r="B202" s="35" t="s">
        <v>361</v>
      </c>
      <c r="C202" s="241">
        <f>D202+K202+M202+O202+Q202+S202+U202+V202+W202+X202</f>
        <v>223559.84</v>
      </c>
      <c r="D202" s="234"/>
      <c r="E202" s="102"/>
      <c r="F202" s="102"/>
      <c r="G202" s="102"/>
      <c r="H202" s="102"/>
      <c r="I202" s="102"/>
      <c r="J202" s="102"/>
      <c r="K202" s="102"/>
      <c r="L202" s="102"/>
      <c r="M202" s="18"/>
      <c r="N202" s="102"/>
      <c r="O202" s="102"/>
      <c r="P202" s="102"/>
      <c r="Q202" s="176"/>
      <c r="R202" s="102"/>
      <c r="S202" s="176"/>
      <c r="T202" s="242"/>
      <c r="U202" s="102"/>
      <c r="V202" s="102"/>
      <c r="W202" s="102">
        <f>Y202</f>
        <v>223559.84</v>
      </c>
      <c r="X202" s="102"/>
      <c r="Y202" s="102">
        <v>223559.84</v>
      </c>
      <c r="Z202" s="102" t="s">
        <v>264</v>
      </c>
      <c r="AA202" s="53" t="s">
        <v>95</v>
      </c>
      <c r="AB202" s="52"/>
      <c r="AD202" s="52"/>
    </row>
    <row r="203" spans="1:30" ht="12.75" customHeight="1">
      <c r="A203" s="72">
        <f>A202+1</f>
        <v>116</v>
      </c>
      <c r="B203" s="35" t="s">
        <v>362</v>
      </c>
      <c r="C203" s="241">
        <f>D203+K203+M203+O203+Q203+S203+U203+V203+W203+X203</f>
        <v>713596.46</v>
      </c>
      <c r="D203" s="234"/>
      <c r="E203" s="102"/>
      <c r="F203" s="176"/>
      <c r="G203" s="233"/>
      <c r="H203" s="234"/>
      <c r="I203" s="234"/>
      <c r="J203" s="234"/>
      <c r="K203" s="234"/>
      <c r="L203" s="234"/>
      <c r="M203" s="234"/>
      <c r="N203" s="234"/>
      <c r="O203" s="234"/>
      <c r="P203" s="234"/>
      <c r="Q203" s="176"/>
      <c r="R203" s="234"/>
      <c r="S203" s="176"/>
      <c r="T203" s="233"/>
      <c r="U203" s="234"/>
      <c r="V203" s="234"/>
      <c r="W203" s="102">
        <f>Y203</f>
        <v>713596.46</v>
      </c>
      <c r="X203" s="234"/>
      <c r="Y203" s="102">
        <f>122659.91+402422.59+188513.96</f>
        <v>713596.46</v>
      </c>
      <c r="Z203" s="102" t="s">
        <v>265</v>
      </c>
      <c r="AA203" s="53" t="s">
        <v>95</v>
      </c>
      <c r="AB203" s="52"/>
      <c r="AD203" s="52"/>
    </row>
    <row r="204" spans="1:30" ht="16.5" customHeight="1">
      <c r="A204" s="274" t="s">
        <v>60</v>
      </c>
      <c r="B204" s="334"/>
      <c r="C204" s="102">
        <f aca="true" t="shared" si="48" ref="C204:X204">SUM(C200:C203)</f>
        <v>1984045.55</v>
      </c>
      <c r="D204" s="102">
        <f t="shared" si="48"/>
        <v>0</v>
      </c>
      <c r="E204" s="102">
        <f t="shared" si="48"/>
        <v>0</v>
      </c>
      <c r="F204" s="236">
        <f t="shared" si="48"/>
        <v>0</v>
      </c>
      <c r="G204" s="102">
        <f t="shared" si="48"/>
        <v>0</v>
      </c>
      <c r="H204" s="102">
        <f t="shared" si="48"/>
        <v>0</v>
      </c>
      <c r="I204" s="102">
        <f t="shared" si="48"/>
        <v>0</v>
      </c>
      <c r="J204" s="102">
        <f t="shared" si="48"/>
        <v>0</v>
      </c>
      <c r="K204" s="102">
        <f t="shared" si="48"/>
        <v>0</v>
      </c>
      <c r="L204" s="102">
        <f t="shared" si="48"/>
        <v>0</v>
      </c>
      <c r="M204" s="102">
        <f t="shared" si="48"/>
        <v>0</v>
      </c>
      <c r="N204" s="102">
        <f t="shared" si="48"/>
        <v>0</v>
      </c>
      <c r="O204" s="102">
        <f t="shared" si="48"/>
        <v>0</v>
      </c>
      <c r="P204" s="102">
        <f t="shared" si="48"/>
        <v>0</v>
      </c>
      <c r="Q204" s="236">
        <f t="shared" si="48"/>
        <v>0</v>
      </c>
      <c r="R204" s="236">
        <f t="shared" si="48"/>
        <v>0</v>
      </c>
      <c r="S204" s="236">
        <f t="shared" si="48"/>
        <v>0</v>
      </c>
      <c r="T204" s="102">
        <f t="shared" si="48"/>
        <v>0</v>
      </c>
      <c r="U204" s="102">
        <f t="shared" si="48"/>
        <v>0</v>
      </c>
      <c r="V204" s="102">
        <f t="shared" si="48"/>
        <v>0</v>
      </c>
      <c r="W204" s="102">
        <f t="shared" si="48"/>
        <v>1984045.55</v>
      </c>
      <c r="X204" s="102">
        <f t="shared" si="48"/>
        <v>0</v>
      </c>
      <c r="Y204" s="102"/>
      <c r="Z204" s="102"/>
      <c r="AA204" s="53">
        <f>E204+F204+G204+H204+I204+K204+M204+O204+Q204+S204+U204+W204+V204+X204</f>
        <v>1984045.55</v>
      </c>
      <c r="AB204" s="52">
        <f>AA204-C204</f>
        <v>0</v>
      </c>
      <c r="AC204" s="52"/>
      <c r="AD204" s="52"/>
    </row>
    <row r="205" spans="1:30" ht="16.5" customHeight="1">
      <c r="A205" s="267" t="s">
        <v>351</v>
      </c>
      <c r="B205" s="267"/>
      <c r="C205" s="267"/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234"/>
      <c r="Z205" s="234"/>
      <c r="AA205" s="53"/>
      <c r="AB205" s="52"/>
      <c r="AD205" s="52"/>
    </row>
    <row r="206" spans="1:30" ht="16.5" customHeight="1">
      <c r="A206" s="54">
        <f>A203+1</f>
        <v>117</v>
      </c>
      <c r="B206" s="213" t="s">
        <v>363</v>
      </c>
      <c r="C206" s="224">
        <f>D206+K206+M206+O206+Q206+S206+U206+V206+W206+X206</f>
        <v>362319.99</v>
      </c>
      <c r="D206" s="234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>
        <f>Y206</f>
        <v>362319.99</v>
      </c>
      <c r="X206" s="102"/>
      <c r="Y206" s="36">
        <v>362319.99</v>
      </c>
      <c r="Z206" s="102" t="s">
        <v>263</v>
      </c>
      <c r="AA206" s="53"/>
      <c r="AB206" s="52"/>
      <c r="AD206" s="52"/>
    </row>
    <row r="207" spans="1:30" ht="16.5" customHeight="1">
      <c r="A207" s="72">
        <f>A206+1</f>
        <v>118</v>
      </c>
      <c r="B207" s="213" t="s">
        <v>364</v>
      </c>
      <c r="C207" s="224">
        <f>D207+K207+M207+O207+Q207+S207+U207+V207+W207+X207</f>
        <v>208447.98</v>
      </c>
      <c r="D207" s="234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36">
        <v>208447.98</v>
      </c>
      <c r="X207" s="102"/>
      <c r="Y207" s="36">
        <v>208447.98</v>
      </c>
      <c r="Z207" s="102" t="s">
        <v>263</v>
      </c>
      <c r="AA207" s="53"/>
      <c r="AB207" s="52"/>
      <c r="AD207" s="52"/>
    </row>
    <row r="208" spans="1:30" ht="16.5" customHeight="1">
      <c r="A208" s="72">
        <f>A207+1</f>
        <v>119</v>
      </c>
      <c r="B208" s="213" t="s">
        <v>365</v>
      </c>
      <c r="C208" s="224">
        <f>D208+K208+M208+O208+Q208+S208+U208+V208+W208+X208</f>
        <v>1253683.72</v>
      </c>
      <c r="D208" s="234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36">
        <f>391829.22+861854.5</f>
        <v>1253683.72</v>
      </c>
      <c r="X208" s="102"/>
      <c r="Y208" s="36">
        <f>391829.22+861854.5</f>
        <v>1253683.72</v>
      </c>
      <c r="Z208" s="102" t="s">
        <v>266</v>
      </c>
      <c r="AA208" s="53"/>
      <c r="AB208" s="52"/>
      <c r="AD208" s="52"/>
    </row>
    <row r="209" spans="1:30" ht="16.5" customHeight="1">
      <c r="A209" s="274" t="s">
        <v>60</v>
      </c>
      <c r="B209" s="274"/>
      <c r="C209" s="224">
        <f>SUM(C206:C208)</f>
        <v>1824451.69</v>
      </c>
      <c r="D209" s="224">
        <f aca="true" t="shared" si="49" ref="D209:V209">SUM(D206:D206)</f>
        <v>0</v>
      </c>
      <c r="E209" s="224">
        <f t="shared" si="49"/>
        <v>0</v>
      </c>
      <c r="F209" s="224">
        <f t="shared" si="49"/>
        <v>0</v>
      </c>
      <c r="G209" s="224">
        <f t="shared" si="49"/>
        <v>0</v>
      </c>
      <c r="H209" s="224">
        <f t="shared" si="49"/>
        <v>0</v>
      </c>
      <c r="I209" s="224">
        <f t="shared" si="49"/>
        <v>0</v>
      </c>
      <c r="J209" s="224">
        <f t="shared" si="49"/>
        <v>0</v>
      </c>
      <c r="K209" s="224">
        <f t="shared" si="49"/>
        <v>0</v>
      </c>
      <c r="L209" s="224">
        <f t="shared" si="49"/>
        <v>0</v>
      </c>
      <c r="M209" s="224">
        <f t="shared" si="49"/>
        <v>0</v>
      </c>
      <c r="N209" s="224">
        <f t="shared" si="49"/>
        <v>0</v>
      </c>
      <c r="O209" s="224">
        <f t="shared" si="49"/>
        <v>0</v>
      </c>
      <c r="P209" s="224">
        <f t="shared" si="49"/>
        <v>0</v>
      </c>
      <c r="Q209" s="224">
        <f t="shared" si="49"/>
        <v>0</v>
      </c>
      <c r="R209" s="224">
        <f t="shared" si="49"/>
        <v>0</v>
      </c>
      <c r="S209" s="224">
        <f t="shared" si="49"/>
        <v>0</v>
      </c>
      <c r="T209" s="224">
        <f t="shared" si="49"/>
        <v>0</v>
      </c>
      <c r="U209" s="224">
        <f t="shared" si="49"/>
        <v>0</v>
      </c>
      <c r="V209" s="224">
        <f t="shared" si="49"/>
        <v>0</v>
      </c>
      <c r="W209" s="224">
        <f>SUM(W206:W208)</f>
        <v>1824451.69</v>
      </c>
      <c r="X209" s="224">
        <f>C209-W209</f>
        <v>0</v>
      </c>
      <c r="Y209" s="224"/>
      <c r="Z209" s="224"/>
      <c r="AA209" s="53">
        <f>E209+F209+G209+H209+I209+K209+M209+O209+Q209+S209+U209+W209+V209+X209</f>
        <v>1824451.69</v>
      </c>
      <c r="AB209" s="52">
        <f>AA209-C209</f>
        <v>0</v>
      </c>
      <c r="AC209" s="52"/>
      <c r="AD209" s="52"/>
    </row>
    <row r="210" spans="1:31" s="12" customFormat="1" ht="16.5" customHeight="1">
      <c r="A210" s="259" t="s">
        <v>79</v>
      </c>
      <c r="B210" s="259"/>
      <c r="C210" s="243">
        <f aca="true" t="shared" si="50" ref="C210:Y210">C198+C204+C209+C195+C183</f>
        <v>7094859.460000001</v>
      </c>
      <c r="D210" s="243">
        <f t="shared" si="50"/>
        <v>0</v>
      </c>
      <c r="E210" s="243">
        <f t="shared" si="50"/>
        <v>0</v>
      </c>
      <c r="F210" s="243">
        <f t="shared" si="50"/>
        <v>0</v>
      </c>
      <c r="G210" s="243">
        <f t="shared" si="50"/>
        <v>0</v>
      </c>
      <c r="H210" s="243">
        <f t="shared" si="50"/>
        <v>0</v>
      </c>
      <c r="I210" s="243">
        <f t="shared" si="50"/>
        <v>0</v>
      </c>
      <c r="J210" s="243">
        <f t="shared" si="50"/>
        <v>0</v>
      </c>
      <c r="K210" s="243">
        <f t="shared" si="50"/>
        <v>0</v>
      </c>
      <c r="L210" s="243">
        <f t="shared" si="50"/>
        <v>0</v>
      </c>
      <c r="M210" s="243">
        <f t="shared" si="50"/>
        <v>0</v>
      </c>
      <c r="N210" s="243">
        <f t="shared" si="50"/>
        <v>0</v>
      </c>
      <c r="O210" s="243">
        <f t="shared" si="50"/>
        <v>0</v>
      </c>
      <c r="P210" s="243">
        <f t="shared" si="50"/>
        <v>0</v>
      </c>
      <c r="Q210" s="243">
        <f t="shared" si="50"/>
        <v>0</v>
      </c>
      <c r="R210" s="243">
        <f t="shared" si="50"/>
        <v>0</v>
      </c>
      <c r="S210" s="243">
        <f t="shared" si="50"/>
        <v>0</v>
      </c>
      <c r="T210" s="243">
        <f t="shared" si="50"/>
        <v>0</v>
      </c>
      <c r="U210" s="243">
        <f t="shared" si="50"/>
        <v>0</v>
      </c>
      <c r="V210" s="243">
        <f t="shared" si="50"/>
        <v>0</v>
      </c>
      <c r="W210" s="243">
        <f t="shared" si="50"/>
        <v>7094859.460000001</v>
      </c>
      <c r="X210" s="243">
        <f t="shared" si="50"/>
        <v>0</v>
      </c>
      <c r="Y210" s="243">
        <f t="shared" si="50"/>
        <v>116386.49</v>
      </c>
      <c r="Z210" s="243"/>
      <c r="AA210" s="53"/>
      <c r="AB210" s="52"/>
      <c r="AC210" s="11"/>
      <c r="AD210" s="52"/>
      <c r="AE210" s="51"/>
    </row>
    <row r="211" spans="1:30" ht="15" customHeight="1">
      <c r="A211" s="328" t="s">
        <v>80</v>
      </c>
      <c r="B211" s="328"/>
      <c r="C211" s="328"/>
      <c r="D211" s="328"/>
      <c r="E211" s="328"/>
      <c r="F211" s="328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  <c r="T211" s="328"/>
      <c r="U211" s="328"/>
      <c r="V211" s="328"/>
      <c r="W211" s="328"/>
      <c r="X211" s="328"/>
      <c r="Y211" s="243"/>
      <c r="Z211" s="243"/>
      <c r="AA211" s="53"/>
      <c r="AB211" s="52"/>
      <c r="AD211" s="52"/>
    </row>
    <row r="212" spans="1:30" ht="15" customHeight="1">
      <c r="A212" s="267" t="s">
        <v>134</v>
      </c>
      <c r="B212" s="267"/>
      <c r="C212" s="267"/>
      <c r="D212" s="303"/>
      <c r="E212" s="303"/>
      <c r="F212" s="303"/>
      <c r="G212" s="303"/>
      <c r="H212" s="303"/>
      <c r="I212" s="303"/>
      <c r="J212" s="303"/>
      <c r="K212" s="303"/>
      <c r="L212" s="303"/>
      <c r="M212" s="303"/>
      <c r="N212" s="303"/>
      <c r="O212" s="303"/>
      <c r="P212" s="303"/>
      <c r="Q212" s="303"/>
      <c r="R212" s="303"/>
      <c r="S212" s="303"/>
      <c r="T212" s="303"/>
      <c r="U212" s="303"/>
      <c r="V212" s="303"/>
      <c r="W212" s="303"/>
      <c r="X212" s="303"/>
      <c r="Y212" s="234"/>
      <c r="Z212" s="234"/>
      <c r="AA212" s="51"/>
      <c r="AB212" s="52"/>
      <c r="AD212" s="52"/>
    </row>
    <row r="213" spans="1:30" ht="15" customHeight="1">
      <c r="A213" s="72">
        <f>A208+1</f>
        <v>120</v>
      </c>
      <c r="B213" s="48" t="s">
        <v>366</v>
      </c>
      <c r="C213" s="224">
        <f>D213+K213+M213+O213+Q213+S213+U213+V213+W213+X213</f>
        <v>1032346</v>
      </c>
      <c r="D213" s="234"/>
      <c r="E213" s="102"/>
      <c r="F213" s="102"/>
      <c r="G213" s="102"/>
      <c r="H213" s="102"/>
      <c r="I213" s="102"/>
      <c r="J213" s="102"/>
      <c r="K213" s="102"/>
      <c r="L213" s="102">
        <v>770</v>
      </c>
      <c r="M213" s="102">
        <v>1032346</v>
      </c>
      <c r="N213" s="102"/>
      <c r="O213" s="102"/>
      <c r="P213" s="102"/>
      <c r="Q213" s="102"/>
      <c r="R213" s="102"/>
      <c r="S213" s="102"/>
      <c r="T213" s="102"/>
      <c r="U213" s="102"/>
      <c r="V213" s="102"/>
      <c r="W213" s="224"/>
      <c r="X213" s="224"/>
      <c r="Y213" s="84">
        <v>289047.81</v>
      </c>
      <c r="Z213" s="102" t="s">
        <v>263</v>
      </c>
      <c r="AA213" s="53"/>
      <c r="AB213" s="52"/>
      <c r="AD213" s="52"/>
    </row>
    <row r="214" spans="1:30" ht="15" customHeight="1">
      <c r="A214" s="274" t="s">
        <v>60</v>
      </c>
      <c r="B214" s="274"/>
      <c r="C214" s="102">
        <f>SUM(C213:C213)</f>
        <v>1032346</v>
      </c>
      <c r="D214" s="102">
        <f aca="true" t="shared" si="51" ref="D214:W214">SUM(D213:D213)</f>
        <v>0</v>
      </c>
      <c r="E214" s="102">
        <f t="shared" si="51"/>
        <v>0</v>
      </c>
      <c r="F214" s="102">
        <f t="shared" si="51"/>
        <v>0</v>
      </c>
      <c r="G214" s="102">
        <f t="shared" si="51"/>
        <v>0</v>
      </c>
      <c r="H214" s="102">
        <f t="shared" si="51"/>
        <v>0</v>
      </c>
      <c r="I214" s="102">
        <f t="shared" si="51"/>
        <v>0</v>
      </c>
      <c r="J214" s="102">
        <f t="shared" si="51"/>
        <v>0</v>
      </c>
      <c r="K214" s="102">
        <f t="shared" si="51"/>
        <v>0</v>
      </c>
      <c r="L214" s="102">
        <f t="shared" si="51"/>
        <v>770</v>
      </c>
      <c r="M214" s="102">
        <f t="shared" si="51"/>
        <v>1032346</v>
      </c>
      <c r="N214" s="102">
        <f t="shared" si="51"/>
        <v>0</v>
      </c>
      <c r="O214" s="102">
        <f t="shared" si="51"/>
        <v>0</v>
      </c>
      <c r="P214" s="102">
        <f t="shared" si="51"/>
        <v>0</v>
      </c>
      <c r="Q214" s="102">
        <f t="shared" si="51"/>
        <v>0</v>
      </c>
      <c r="R214" s="102">
        <f t="shared" si="51"/>
        <v>0</v>
      </c>
      <c r="S214" s="102">
        <f t="shared" si="51"/>
        <v>0</v>
      </c>
      <c r="T214" s="102">
        <f t="shared" si="51"/>
        <v>0</v>
      </c>
      <c r="U214" s="102">
        <f t="shared" si="51"/>
        <v>0</v>
      </c>
      <c r="V214" s="102">
        <f t="shared" si="51"/>
        <v>0</v>
      </c>
      <c r="W214" s="102">
        <f t="shared" si="51"/>
        <v>0</v>
      </c>
      <c r="X214" s="224"/>
      <c r="Y214" s="102"/>
      <c r="Z214" s="102"/>
      <c r="AA214" s="53">
        <f>E214+F214+G214+H214+I214+K214+M214+O214+Q214+S214+U214+W214+V214+X214</f>
        <v>1032346</v>
      </c>
      <c r="AB214" s="52">
        <f>AA214-C214</f>
        <v>0</v>
      </c>
      <c r="AD214" s="52"/>
    </row>
    <row r="215" spans="1:30" ht="18" customHeight="1">
      <c r="A215" s="259" t="s">
        <v>116</v>
      </c>
      <c r="B215" s="259"/>
      <c r="C215" s="259"/>
      <c r="D215" s="303"/>
      <c r="E215" s="303"/>
      <c r="F215" s="303"/>
      <c r="G215" s="303"/>
      <c r="H215" s="303"/>
      <c r="I215" s="303"/>
      <c r="J215" s="303"/>
      <c r="K215" s="303"/>
      <c r="L215" s="303"/>
      <c r="M215" s="303"/>
      <c r="N215" s="303"/>
      <c r="O215" s="303"/>
      <c r="P215" s="303"/>
      <c r="Q215" s="303"/>
      <c r="R215" s="303"/>
      <c r="S215" s="303"/>
      <c r="T215" s="303"/>
      <c r="U215" s="303"/>
      <c r="V215" s="303"/>
      <c r="W215" s="303"/>
      <c r="X215" s="303"/>
      <c r="Y215" s="234"/>
      <c r="Z215" s="102"/>
      <c r="AA215" s="53"/>
      <c r="AB215" s="52"/>
      <c r="AC215" s="52"/>
      <c r="AD215" s="52"/>
    </row>
    <row r="216" spans="1:30" ht="15.75" customHeight="1">
      <c r="A216" s="54">
        <f>A213+1</f>
        <v>121</v>
      </c>
      <c r="B216" s="112" t="s">
        <v>367</v>
      </c>
      <c r="C216" s="241">
        <f>D216+K216+M216+O216+Q216+S216+U216+V216+W216+X216</f>
        <v>172707.74</v>
      </c>
      <c r="D216" s="234"/>
      <c r="E216" s="102"/>
      <c r="F216" s="234"/>
      <c r="G216" s="234"/>
      <c r="H216" s="234"/>
      <c r="I216" s="234"/>
      <c r="J216" s="234"/>
      <c r="K216" s="234"/>
      <c r="L216" s="182"/>
      <c r="M216" s="182"/>
      <c r="N216" s="233"/>
      <c r="O216" s="234"/>
      <c r="P216" s="234"/>
      <c r="Q216" s="234"/>
      <c r="R216" s="234"/>
      <c r="S216" s="234"/>
      <c r="T216" s="234"/>
      <c r="U216" s="234"/>
      <c r="V216" s="234"/>
      <c r="W216" s="102">
        <f>Y216</f>
        <v>172707.74</v>
      </c>
      <c r="X216" s="234"/>
      <c r="Y216" s="36">
        <v>172707.74</v>
      </c>
      <c r="Z216" s="102" t="s">
        <v>263</v>
      </c>
      <c r="AA216" s="53"/>
      <c r="AB216" s="52"/>
      <c r="AC216" s="52"/>
      <c r="AD216" s="52"/>
    </row>
    <row r="217" spans="1:30" ht="15" customHeight="1">
      <c r="A217" s="274" t="s">
        <v>60</v>
      </c>
      <c r="B217" s="334"/>
      <c r="C217" s="102">
        <f aca="true" t="shared" si="52" ref="C217:X217">SUM(C216:C216)</f>
        <v>172707.74</v>
      </c>
      <c r="D217" s="102">
        <f t="shared" si="52"/>
        <v>0</v>
      </c>
      <c r="E217" s="102">
        <f t="shared" si="52"/>
        <v>0</v>
      </c>
      <c r="F217" s="102">
        <f t="shared" si="52"/>
        <v>0</v>
      </c>
      <c r="G217" s="102">
        <f t="shared" si="52"/>
        <v>0</v>
      </c>
      <c r="H217" s="102">
        <f t="shared" si="52"/>
        <v>0</v>
      </c>
      <c r="I217" s="102">
        <f t="shared" si="52"/>
        <v>0</v>
      </c>
      <c r="J217" s="102">
        <f t="shared" si="52"/>
        <v>0</v>
      </c>
      <c r="K217" s="102">
        <f t="shared" si="52"/>
        <v>0</v>
      </c>
      <c r="L217" s="102">
        <f t="shared" si="52"/>
        <v>0</v>
      </c>
      <c r="M217" s="102">
        <f t="shared" si="52"/>
        <v>0</v>
      </c>
      <c r="N217" s="242">
        <f t="shared" si="52"/>
        <v>0</v>
      </c>
      <c r="O217" s="102">
        <f t="shared" si="52"/>
        <v>0</v>
      </c>
      <c r="P217" s="102">
        <f t="shared" si="52"/>
        <v>0</v>
      </c>
      <c r="Q217" s="102">
        <f t="shared" si="52"/>
        <v>0</v>
      </c>
      <c r="R217" s="102">
        <f t="shared" si="52"/>
        <v>0</v>
      </c>
      <c r="S217" s="102">
        <f t="shared" si="52"/>
        <v>0</v>
      </c>
      <c r="T217" s="102">
        <f t="shared" si="52"/>
        <v>0</v>
      </c>
      <c r="U217" s="102">
        <f t="shared" si="52"/>
        <v>0</v>
      </c>
      <c r="V217" s="102">
        <f t="shared" si="52"/>
        <v>0</v>
      </c>
      <c r="W217" s="102">
        <f t="shared" si="52"/>
        <v>172707.74</v>
      </c>
      <c r="X217" s="102">
        <f t="shared" si="52"/>
        <v>0</v>
      </c>
      <c r="Y217" s="102"/>
      <c r="Z217" s="102"/>
      <c r="AA217" s="53">
        <f>E217+F217+G217+H217+I217+K217+M217+O217+Q217+S217+U217+W217+V217+X217</f>
        <v>172707.74</v>
      </c>
      <c r="AB217" s="52">
        <f>AA217-C217</f>
        <v>0</v>
      </c>
      <c r="AC217" s="52"/>
      <c r="AD217" s="52"/>
    </row>
    <row r="218" spans="1:30" ht="15" customHeight="1">
      <c r="A218" s="259" t="s">
        <v>91</v>
      </c>
      <c r="B218" s="259"/>
      <c r="C218" s="259"/>
      <c r="D218" s="303"/>
      <c r="E218" s="303"/>
      <c r="F218" s="303"/>
      <c r="G218" s="303"/>
      <c r="H218" s="303"/>
      <c r="I218" s="303"/>
      <c r="J218" s="303"/>
      <c r="K218" s="303"/>
      <c r="L218" s="303"/>
      <c r="M218" s="303"/>
      <c r="N218" s="303"/>
      <c r="O218" s="303"/>
      <c r="P218" s="303"/>
      <c r="Q218" s="303"/>
      <c r="R218" s="303"/>
      <c r="S218" s="303"/>
      <c r="T218" s="303"/>
      <c r="U218" s="303"/>
      <c r="V218" s="303"/>
      <c r="W218" s="303"/>
      <c r="X218" s="303"/>
      <c r="Y218" s="234"/>
      <c r="Z218" s="102"/>
      <c r="AA218" s="53"/>
      <c r="AB218" s="52"/>
      <c r="AD218" s="52"/>
    </row>
    <row r="219" spans="1:30" ht="15" customHeight="1">
      <c r="A219" s="54">
        <f>A216+1</f>
        <v>122</v>
      </c>
      <c r="B219" s="82" t="s">
        <v>125</v>
      </c>
      <c r="C219" s="224">
        <f>D219+K219+M219+O219+Q219+S219+U219+V219+W219+X219</f>
        <v>113889.09</v>
      </c>
      <c r="D219" s="234"/>
      <c r="E219" s="234"/>
      <c r="F219" s="234"/>
      <c r="G219" s="234"/>
      <c r="H219" s="234"/>
      <c r="I219" s="234"/>
      <c r="J219" s="234"/>
      <c r="K219" s="234"/>
      <c r="L219" s="102"/>
      <c r="M219" s="102"/>
      <c r="N219" s="234"/>
      <c r="O219" s="234"/>
      <c r="P219" s="234"/>
      <c r="Q219" s="234"/>
      <c r="R219" s="234"/>
      <c r="S219" s="234"/>
      <c r="T219" s="234"/>
      <c r="U219" s="234"/>
      <c r="V219" s="234"/>
      <c r="W219" s="102">
        <f>Y219</f>
        <v>113889.09</v>
      </c>
      <c r="X219" s="234"/>
      <c r="Y219" s="36">
        <v>113889.09</v>
      </c>
      <c r="Z219" s="102" t="s">
        <v>263</v>
      </c>
      <c r="AA219" s="53"/>
      <c r="AB219" s="52"/>
      <c r="AD219" s="52"/>
    </row>
    <row r="220" spans="1:30" ht="15" customHeight="1">
      <c r="A220" s="274" t="s">
        <v>60</v>
      </c>
      <c r="B220" s="274"/>
      <c r="C220" s="102">
        <f aca="true" t="shared" si="53" ref="C220:X220">SUM(C219:C219)</f>
        <v>113889.09</v>
      </c>
      <c r="D220" s="102">
        <f t="shared" si="53"/>
        <v>0</v>
      </c>
      <c r="E220" s="102">
        <f t="shared" si="53"/>
        <v>0</v>
      </c>
      <c r="F220" s="102">
        <f t="shared" si="53"/>
        <v>0</v>
      </c>
      <c r="G220" s="102">
        <f t="shared" si="53"/>
        <v>0</v>
      </c>
      <c r="H220" s="102">
        <f t="shared" si="53"/>
        <v>0</v>
      </c>
      <c r="I220" s="102">
        <f t="shared" si="53"/>
        <v>0</v>
      </c>
      <c r="J220" s="102">
        <f t="shared" si="53"/>
        <v>0</v>
      </c>
      <c r="K220" s="102">
        <f t="shared" si="53"/>
        <v>0</v>
      </c>
      <c r="L220" s="102">
        <f t="shared" si="53"/>
        <v>0</v>
      </c>
      <c r="M220" s="102">
        <f t="shared" si="53"/>
        <v>0</v>
      </c>
      <c r="N220" s="102">
        <f t="shared" si="53"/>
        <v>0</v>
      </c>
      <c r="O220" s="102">
        <f t="shared" si="53"/>
        <v>0</v>
      </c>
      <c r="P220" s="102">
        <f t="shared" si="53"/>
        <v>0</v>
      </c>
      <c r="Q220" s="102">
        <f t="shared" si="53"/>
        <v>0</v>
      </c>
      <c r="R220" s="102">
        <f t="shared" si="53"/>
        <v>0</v>
      </c>
      <c r="S220" s="102">
        <f t="shared" si="53"/>
        <v>0</v>
      </c>
      <c r="T220" s="102">
        <f t="shared" si="53"/>
        <v>0</v>
      </c>
      <c r="U220" s="102">
        <f t="shared" si="53"/>
        <v>0</v>
      </c>
      <c r="V220" s="102">
        <f t="shared" si="53"/>
        <v>0</v>
      </c>
      <c r="W220" s="102">
        <f t="shared" si="53"/>
        <v>113889.09</v>
      </c>
      <c r="X220" s="102">
        <f t="shared" si="53"/>
        <v>0</v>
      </c>
      <c r="Y220" s="102"/>
      <c r="Z220" s="102"/>
      <c r="AA220" s="53">
        <f>E220+F220+G220+H220+I220+K220+M220+O220+Q220+S220+U220+W220+V220+X220</f>
        <v>113889.09</v>
      </c>
      <c r="AB220" s="52">
        <f>AA220-C220</f>
        <v>0</v>
      </c>
      <c r="AC220" s="52"/>
      <c r="AD220" s="52"/>
    </row>
    <row r="221" spans="1:30" ht="15" customHeight="1">
      <c r="A221" s="259" t="s">
        <v>81</v>
      </c>
      <c r="B221" s="259"/>
      <c r="C221" s="234">
        <f>C214+C217+C220</f>
        <v>1318942.83</v>
      </c>
      <c r="D221" s="234">
        <f aca="true" t="shared" si="54" ref="D221:W221">D214+D217+D220</f>
        <v>0</v>
      </c>
      <c r="E221" s="234">
        <f t="shared" si="54"/>
        <v>0</v>
      </c>
      <c r="F221" s="234">
        <f t="shared" si="54"/>
        <v>0</v>
      </c>
      <c r="G221" s="234">
        <f t="shared" si="54"/>
        <v>0</v>
      </c>
      <c r="H221" s="234">
        <f t="shared" si="54"/>
        <v>0</v>
      </c>
      <c r="I221" s="234">
        <f t="shared" si="54"/>
        <v>0</v>
      </c>
      <c r="J221" s="234">
        <f t="shared" si="54"/>
        <v>0</v>
      </c>
      <c r="K221" s="234">
        <f t="shared" si="54"/>
        <v>0</v>
      </c>
      <c r="L221" s="234">
        <f t="shared" si="54"/>
        <v>770</v>
      </c>
      <c r="M221" s="234">
        <f t="shared" si="54"/>
        <v>1032346</v>
      </c>
      <c r="N221" s="234">
        <f t="shared" si="54"/>
        <v>0</v>
      </c>
      <c r="O221" s="234">
        <f t="shared" si="54"/>
        <v>0</v>
      </c>
      <c r="P221" s="234">
        <f t="shared" si="54"/>
        <v>0</v>
      </c>
      <c r="Q221" s="234">
        <f t="shared" si="54"/>
        <v>0</v>
      </c>
      <c r="R221" s="234">
        <f t="shared" si="54"/>
        <v>0</v>
      </c>
      <c r="S221" s="234">
        <f t="shared" si="54"/>
        <v>0</v>
      </c>
      <c r="T221" s="234">
        <f t="shared" si="54"/>
        <v>0</v>
      </c>
      <c r="U221" s="234">
        <f t="shared" si="54"/>
        <v>0</v>
      </c>
      <c r="V221" s="234">
        <f t="shared" si="54"/>
        <v>0</v>
      </c>
      <c r="W221" s="234">
        <f t="shared" si="54"/>
        <v>286596.82999999996</v>
      </c>
      <c r="X221" s="224"/>
      <c r="Y221" s="234"/>
      <c r="Z221" s="234"/>
      <c r="AA221" s="233">
        <f>AA214+AA217+AA220</f>
        <v>1318942.83</v>
      </c>
      <c r="AB221" s="52"/>
      <c r="AC221" s="52"/>
      <c r="AD221" s="52"/>
    </row>
    <row r="222" spans="1:30" ht="15" customHeight="1">
      <c r="A222" s="329" t="s">
        <v>316</v>
      </c>
      <c r="B222" s="330"/>
      <c r="C222" s="330"/>
      <c r="D222" s="330"/>
      <c r="E222" s="330"/>
      <c r="F222" s="330"/>
      <c r="G222" s="330"/>
      <c r="H222" s="330"/>
      <c r="I222" s="330"/>
      <c r="J222" s="330"/>
      <c r="K222" s="330"/>
      <c r="L222" s="330"/>
      <c r="M222" s="330"/>
      <c r="N222" s="330"/>
      <c r="O222" s="330"/>
      <c r="P222" s="330"/>
      <c r="Q222" s="330"/>
      <c r="R222" s="330"/>
      <c r="S222" s="330"/>
      <c r="T222" s="330"/>
      <c r="U222" s="330"/>
      <c r="V222" s="330"/>
      <c r="W222" s="330"/>
      <c r="X222" s="330"/>
      <c r="Y222" s="330"/>
      <c r="Z222" s="331"/>
      <c r="AA222" s="61"/>
      <c r="AB222" s="52"/>
      <c r="AC222" s="52"/>
      <c r="AD222" s="52"/>
    </row>
    <row r="223" spans="1:30" ht="15" customHeight="1">
      <c r="A223" s="210" t="s">
        <v>317</v>
      </c>
      <c r="B223" s="105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24"/>
      <c r="Y223" s="234"/>
      <c r="Z223" s="234"/>
      <c r="AA223" s="61"/>
      <c r="AB223" s="52"/>
      <c r="AC223" s="52"/>
      <c r="AD223" s="52"/>
    </row>
    <row r="224" spans="1:30" ht="15" customHeight="1">
      <c r="A224" s="54">
        <f>A219+1</f>
        <v>123</v>
      </c>
      <c r="B224" s="222" t="s">
        <v>318</v>
      </c>
      <c r="C224" s="224">
        <f>D224+K224+M224+O224+Q224+S224+U224+V224+W224+X224</f>
        <v>310605.19</v>
      </c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234"/>
      <c r="V224" s="234"/>
      <c r="W224" s="199">
        <v>310605.19</v>
      </c>
      <c r="X224" s="224"/>
      <c r="Y224" s="102"/>
      <c r="Z224" s="102" t="s">
        <v>93</v>
      </c>
      <c r="AA224" s="61"/>
      <c r="AB224" s="52"/>
      <c r="AC224" s="52"/>
      <c r="AD224" s="52"/>
    </row>
    <row r="225" spans="1:30" ht="15" customHeight="1">
      <c r="A225" s="274" t="s">
        <v>60</v>
      </c>
      <c r="B225" s="334"/>
      <c r="C225" s="102">
        <f>C224</f>
        <v>310605.19</v>
      </c>
      <c r="D225" s="102">
        <f aca="true" t="shared" si="55" ref="D225:X226">D224</f>
        <v>0</v>
      </c>
      <c r="E225" s="102">
        <f t="shared" si="55"/>
        <v>0</v>
      </c>
      <c r="F225" s="102">
        <f t="shared" si="55"/>
        <v>0</v>
      </c>
      <c r="G225" s="102">
        <f t="shared" si="55"/>
        <v>0</v>
      </c>
      <c r="H225" s="102">
        <f t="shared" si="55"/>
        <v>0</v>
      </c>
      <c r="I225" s="102">
        <f t="shared" si="55"/>
        <v>0</v>
      </c>
      <c r="J225" s="102">
        <f t="shared" si="55"/>
        <v>0</v>
      </c>
      <c r="K225" s="102">
        <f t="shared" si="55"/>
        <v>0</v>
      </c>
      <c r="L225" s="102">
        <f t="shared" si="55"/>
        <v>0</v>
      </c>
      <c r="M225" s="102">
        <f t="shared" si="55"/>
        <v>0</v>
      </c>
      <c r="N225" s="102">
        <f t="shared" si="55"/>
        <v>0</v>
      </c>
      <c r="O225" s="102">
        <f t="shared" si="55"/>
        <v>0</v>
      </c>
      <c r="P225" s="102">
        <f t="shared" si="55"/>
        <v>0</v>
      </c>
      <c r="Q225" s="102">
        <f t="shared" si="55"/>
        <v>0</v>
      </c>
      <c r="R225" s="102">
        <f t="shared" si="55"/>
        <v>0</v>
      </c>
      <c r="S225" s="102">
        <f t="shared" si="55"/>
        <v>0</v>
      </c>
      <c r="T225" s="102">
        <f t="shared" si="55"/>
        <v>0</v>
      </c>
      <c r="U225" s="102">
        <f t="shared" si="55"/>
        <v>0</v>
      </c>
      <c r="V225" s="102">
        <f t="shared" si="55"/>
        <v>0</v>
      </c>
      <c r="W225" s="102">
        <f t="shared" si="55"/>
        <v>310605.19</v>
      </c>
      <c r="X225" s="102">
        <f t="shared" si="55"/>
        <v>0</v>
      </c>
      <c r="Y225" s="102"/>
      <c r="Z225" s="102"/>
      <c r="AA225" s="63"/>
      <c r="AB225" s="52"/>
      <c r="AC225" s="52"/>
      <c r="AD225" s="52"/>
    </row>
    <row r="226" spans="1:30" ht="15" customHeight="1">
      <c r="A226" s="264" t="s">
        <v>319</v>
      </c>
      <c r="B226" s="266"/>
      <c r="C226" s="234">
        <f>C225</f>
        <v>310605.19</v>
      </c>
      <c r="D226" s="234">
        <f t="shared" si="55"/>
        <v>0</v>
      </c>
      <c r="E226" s="234">
        <f t="shared" si="55"/>
        <v>0</v>
      </c>
      <c r="F226" s="234">
        <f t="shared" si="55"/>
        <v>0</v>
      </c>
      <c r="G226" s="234">
        <f t="shared" si="55"/>
        <v>0</v>
      </c>
      <c r="H226" s="234">
        <f t="shared" si="55"/>
        <v>0</v>
      </c>
      <c r="I226" s="234">
        <f t="shared" si="55"/>
        <v>0</v>
      </c>
      <c r="J226" s="234">
        <f t="shared" si="55"/>
        <v>0</v>
      </c>
      <c r="K226" s="234">
        <f t="shared" si="55"/>
        <v>0</v>
      </c>
      <c r="L226" s="234">
        <f t="shared" si="55"/>
        <v>0</v>
      </c>
      <c r="M226" s="234">
        <f t="shared" si="55"/>
        <v>0</v>
      </c>
      <c r="N226" s="234">
        <f t="shared" si="55"/>
        <v>0</v>
      </c>
      <c r="O226" s="234">
        <f t="shared" si="55"/>
        <v>0</v>
      </c>
      <c r="P226" s="234">
        <f t="shared" si="55"/>
        <v>0</v>
      </c>
      <c r="Q226" s="234">
        <f t="shared" si="55"/>
        <v>0</v>
      </c>
      <c r="R226" s="234">
        <f t="shared" si="55"/>
        <v>0</v>
      </c>
      <c r="S226" s="234">
        <f t="shared" si="55"/>
        <v>0</v>
      </c>
      <c r="T226" s="234">
        <f t="shared" si="55"/>
        <v>0</v>
      </c>
      <c r="U226" s="234">
        <f t="shared" si="55"/>
        <v>0</v>
      </c>
      <c r="V226" s="234">
        <f t="shared" si="55"/>
        <v>0</v>
      </c>
      <c r="W226" s="234">
        <f t="shared" si="55"/>
        <v>310605.19</v>
      </c>
      <c r="X226" s="234">
        <f>X225</f>
        <v>0</v>
      </c>
      <c r="Y226" s="234"/>
      <c r="Z226" s="234"/>
      <c r="AA226" s="61"/>
      <c r="AB226" s="52"/>
      <c r="AC226" s="52"/>
      <c r="AD226" s="52"/>
    </row>
    <row r="227" spans="1:30" ht="12.75" customHeight="1">
      <c r="A227" s="335" t="s">
        <v>352</v>
      </c>
      <c r="B227" s="335"/>
      <c r="C227" s="335"/>
      <c r="D227" s="335"/>
      <c r="E227" s="335"/>
      <c r="F227" s="335"/>
      <c r="G227" s="335"/>
      <c r="H227" s="335"/>
      <c r="I227" s="335"/>
      <c r="J227" s="335"/>
      <c r="K227" s="335"/>
      <c r="L227" s="335"/>
      <c r="M227" s="335"/>
      <c r="N227" s="335"/>
      <c r="O227" s="335"/>
      <c r="P227" s="335"/>
      <c r="Q227" s="335"/>
      <c r="R227" s="335"/>
      <c r="S227" s="335"/>
      <c r="T227" s="335"/>
      <c r="U227" s="335"/>
      <c r="V227" s="335"/>
      <c r="W227" s="335"/>
      <c r="X227" s="335"/>
      <c r="Y227" s="247"/>
      <c r="Z227" s="247"/>
      <c r="AA227" s="53"/>
      <c r="AB227" s="52"/>
      <c r="AD227" s="52"/>
    </row>
    <row r="228" spans="1:30" ht="12.75" customHeight="1">
      <c r="A228" s="54">
        <f>A224+1</f>
        <v>124</v>
      </c>
      <c r="B228" s="29" t="s">
        <v>368</v>
      </c>
      <c r="C228" s="224">
        <f>D228+K228+M228+O228+Q228+S228+U228+V228+W228+X228</f>
        <v>505163</v>
      </c>
      <c r="D228" s="102"/>
      <c r="E228" s="224"/>
      <c r="F228" s="116"/>
      <c r="G228" s="200"/>
      <c r="H228" s="116"/>
      <c r="I228" s="116"/>
      <c r="J228" s="172"/>
      <c r="K228" s="172"/>
      <c r="L228" s="201"/>
      <c r="M228" s="224"/>
      <c r="N228" s="200"/>
      <c r="O228" s="200"/>
      <c r="P228" s="200"/>
      <c r="Q228" s="200"/>
      <c r="R228" s="200"/>
      <c r="S228" s="200"/>
      <c r="T228" s="200"/>
      <c r="U228" s="200"/>
      <c r="V228" s="200"/>
      <c r="W228" s="102">
        <v>505163</v>
      </c>
      <c r="X228" s="102"/>
      <c r="Y228" s="102">
        <v>507701.51</v>
      </c>
      <c r="Z228" s="102" t="s">
        <v>326</v>
      </c>
      <c r="AA228" s="53" t="s">
        <v>93</v>
      </c>
      <c r="AB228" s="52"/>
      <c r="AD228" s="52"/>
    </row>
    <row r="229" spans="1:30" ht="12.75" customHeight="1">
      <c r="A229" s="333" t="s">
        <v>60</v>
      </c>
      <c r="B229" s="333"/>
      <c r="C229" s="247">
        <f aca="true" t="shared" si="56" ref="C229:W229">SUM(C228:C228)</f>
        <v>505163</v>
      </c>
      <c r="D229" s="247">
        <f t="shared" si="56"/>
        <v>0</v>
      </c>
      <c r="E229" s="247">
        <f t="shared" si="56"/>
        <v>0</v>
      </c>
      <c r="F229" s="247">
        <f t="shared" si="56"/>
        <v>0</v>
      </c>
      <c r="G229" s="247">
        <f t="shared" si="56"/>
        <v>0</v>
      </c>
      <c r="H229" s="247">
        <f t="shared" si="56"/>
        <v>0</v>
      </c>
      <c r="I229" s="247">
        <f t="shared" si="56"/>
        <v>0</v>
      </c>
      <c r="J229" s="247">
        <f t="shared" si="56"/>
        <v>0</v>
      </c>
      <c r="K229" s="247">
        <f t="shared" si="56"/>
        <v>0</v>
      </c>
      <c r="L229" s="247">
        <f t="shared" si="56"/>
        <v>0</v>
      </c>
      <c r="M229" s="247">
        <f t="shared" si="56"/>
        <v>0</v>
      </c>
      <c r="N229" s="247">
        <f t="shared" si="56"/>
        <v>0</v>
      </c>
      <c r="O229" s="247">
        <f t="shared" si="56"/>
        <v>0</v>
      </c>
      <c r="P229" s="247">
        <f t="shared" si="56"/>
        <v>0</v>
      </c>
      <c r="Q229" s="247">
        <f t="shared" si="56"/>
        <v>0</v>
      </c>
      <c r="R229" s="247">
        <f t="shared" si="56"/>
        <v>0</v>
      </c>
      <c r="S229" s="247">
        <f t="shared" si="56"/>
        <v>0</v>
      </c>
      <c r="T229" s="247">
        <f t="shared" si="56"/>
        <v>0</v>
      </c>
      <c r="U229" s="247">
        <f t="shared" si="56"/>
        <v>0</v>
      </c>
      <c r="V229" s="247">
        <f t="shared" si="56"/>
        <v>0</v>
      </c>
      <c r="W229" s="247">
        <f t="shared" si="56"/>
        <v>505163</v>
      </c>
      <c r="X229" s="224">
        <f>C229-W229</f>
        <v>0</v>
      </c>
      <c r="Y229" s="247"/>
      <c r="Z229" s="247"/>
      <c r="AA229" s="53">
        <f>E229+F229+G229+H229+I229+K229+M229+O229+Q229+S229+U229+W229+V229+X229</f>
        <v>505163</v>
      </c>
      <c r="AB229" s="52">
        <f>AA229-C229</f>
        <v>0</v>
      </c>
      <c r="AC229" s="52"/>
      <c r="AD229" s="52"/>
    </row>
    <row r="230" spans="1:30" ht="12.75" customHeight="1">
      <c r="A230" s="328" t="s">
        <v>82</v>
      </c>
      <c r="B230" s="328"/>
      <c r="C230" s="328"/>
      <c r="D230" s="328"/>
      <c r="E230" s="328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T230" s="328"/>
      <c r="U230" s="328"/>
      <c r="V230" s="328"/>
      <c r="W230" s="328"/>
      <c r="X230" s="328"/>
      <c r="Y230" s="243"/>
      <c r="Z230" s="243"/>
      <c r="AA230" s="53"/>
      <c r="AB230" s="52"/>
      <c r="AC230" s="9"/>
      <c r="AD230" s="52"/>
    </row>
    <row r="231" spans="1:30" ht="12.75" customHeight="1">
      <c r="A231" s="259" t="s">
        <v>83</v>
      </c>
      <c r="B231" s="259"/>
      <c r="C231" s="259"/>
      <c r="D231" s="303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234"/>
      <c r="Z231" s="234"/>
      <c r="AA231" s="53"/>
      <c r="AB231" s="52"/>
      <c r="AC231" s="9"/>
      <c r="AD231" s="52"/>
    </row>
    <row r="232" spans="1:30" ht="12.75" customHeight="1">
      <c r="A232" s="72">
        <f>A228+1</f>
        <v>125</v>
      </c>
      <c r="B232" s="30" t="s">
        <v>331</v>
      </c>
      <c r="C232" s="224">
        <v>352985.31</v>
      </c>
      <c r="D232" s="234"/>
      <c r="E232" s="234"/>
      <c r="F232" s="234"/>
      <c r="G232" s="234"/>
      <c r="H232" s="234"/>
      <c r="I232" s="234"/>
      <c r="J232" s="234"/>
      <c r="K232" s="234"/>
      <c r="L232" s="185"/>
      <c r="M232" s="185"/>
      <c r="N232" s="102"/>
      <c r="O232" s="102"/>
      <c r="P232" s="102"/>
      <c r="Q232" s="102"/>
      <c r="R232" s="234"/>
      <c r="S232" s="234"/>
      <c r="T232" s="234"/>
      <c r="U232" s="234"/>
      <c r="V232" s="224"/>
      <c r="W232" s="224">
        <v>352985.31</v>
      </c>
      <c r="X232" s="224"/>
      <c r="Y232" s="84">
        <v>352985.31</v>
      </c>
      <c r="Z232" s="102" t="s">
        <v>263</v>
      </c>
      <c r="AA232" s="53"/>
      <c r="AB232" s="52"/>
      <c r="AC232" s="9"/>
      <c r="AD232" s="52"/>
    </row>
    <row r="233" spans="1:30" ht="12.75" customHeight="1">
      <c r="A233" s="72">
        <f>A232+1</f>
        <v>126</v>
      </c>
      <c r="B233" s="31" t="s">
        <v>332</v>
      </c>
      <c r="C233" s="224">
        <v>352985.31</v>
      </c>
      <c r="D233" s="234"/>
      <c r="E233" s="234"/>
      <c r="F233" s="234"/>
      <c r="G233" s="234"/>
      <c r="H233" s="234"/>
      <c r="I233" s="234"/>
      <c r="J233" s="234"/>
      <c r="K233" s="234"/>
      <c r="L233" s="185"/>
      <c r="M233" s="202"/>
      <c r="N233" s="102"/>
      <c r="O233" s="102"/>
      <c r="P233" s="102"/>
      <c r="Q233" s="102"/>
      <c r="R233" s="234"/>
      <c r="S233" s="234"/>
      <c r="T233" s="234"/>
      <c r="U233" s="234"/>
      <c r="V233" s="224"/>
      <c r="W233" s="224">
        <v>352985.31</v>
      </c>
      <c r="X233" s="224"/>
      <c r="Y233" s="84">
        <v>352985.31</v>
      </c>
      <c r="Z233" s="102" t="s">
        <v>263</v>
      </c>
      <c r="AA233" s="53"/>
      <c r="AB233" s="52"/>
      <c r="AC233" s="9"/>
      <c r="AD233" s="52"/>
    </row>
    <row r="234" spans="1:30" ht="12.75" customHeight="1">
      <c r="A234" s="72">
        <f>A233+1</f>
        <v>127</v>
      </c>
      <c r="B234" s="26" t="s">
        <v>333</v>
      </c>
      <c r="C234" s="224">
        <v>189962.48</v>
      </c>
      <c r="D234" s="234"/>
      <c r="E234" s="234"/>
      <c r="F234" s="234"/>
      <c r="G234" s="234"/>
      <c r="H234" s="234"/>
      <c r="I234" s="234"/>
      <c r="J234" s="234"/>
      <c r="K234" s="234"/>
      <c r="L234" s="203"/>
      <c r="M234" s="187"/>
      <c r="N234" s="102"/>
      <c r="O234" s="102"/>
      <c r="P234" s="102"/>
      <c r="Q234" s="102"/>
      <c r="R234" s="234"/>
      <c r="S234" s="234"/>
      <c r="T234" s="234"/>
      <c r="U234" s="234"/>
      <c r="V234" s="224"/>
      <c r="W234" s="224">
        <v>189962.48</v>
      </c>
      <c r="X234" s="224"/>
      <c r="Y234" s="84">
        <v>189962.48</v>
      </c>
      <c r="Z234" s="102" t="s">
        <v>263</v>
      </c>
      <c r="AA234" s="53"/>
      <c r="AB234" s="52"/>
      <c r="AC234" s="9"/>
      <c r="AD234" s="52"/>
    </row>
    <row r="235" spans="1:30" ht="13.5" customHeight="1">
      <c r="A235" s="72">
        <f>A234+1</f>
        <v>128</v>
      </c>
      <c r="B235" s="83" t="s">
        <v>345</v>
      </c>
      <c r="C235" s="224">
        <v>192955.45</v>
      </c>
      <c r="D235" s="234"/>
      <c r="E235" s="234"/>
      <c r="F235" s="234"/>
      <c r="G235" s="234"/>
      <c r="H235" s="234"/>
      <c r="I235" s="234"/>
      <c r="J235" s="234"/>
      <c r="K235" s="234"/>
      <c r="L235" s="203"/>
      <c r="M235" s="185"/>
      <c r="N235" s="102"/>
      <c r="O235" s="102"/>
      <c r="P235" s="102"/>
      <c r="Q235" s="102"/>
      <c r="R235" s="234"/>
      <c r="S235" s="234"/>
      <c r="T235" s="234"/>
      <c r="U235" s="234"/>
      <c r="V235" s="224"/>
      <c r="W235" s="224">
        <v>192955.45</v>
      </c>
      <c r="X235" s="224"/>
      <c r="Y235" s="84">
        <v>192955.45</v>
      </c>
      <c r="Z235" s="102" t="s">
        <v>263</v>
      </c>
      <c r="AA235" s="53"/>
      <c r="AB235" s="52"/>
      <c r="AC235" s="9"/>
      <c r="AD235" s="52"/>
    </row>
    <row r="236" spans="1:30" ht="12.75" customHeight="1">
      <c r="A236" s="72">
        <f>A235+1</f>
        <v>129</v>
      </c>
      <c r="B236" s="30" t="s">
        <v>334</v>
      </c>
      <c r="C236" s="224">
        <v>723279.94</v>
      </c>
      <c r="D236" s="234"/>
      <c r="E236" s="234"/>
      <c r="F236" s="234"/>
      <c r="G236" s="234"/>
      <c r="H236" s="234"/>
      <c r="I236" s="234"/>
      <c r="J236" s="234"/>
      <c r="K236" s="234"/>
      <c r="L236" s="203"/>
      <c r="M236" s="188"/>
      <c r="N236" s="102"/>
      <c r="O236" s="102"/>
      <c r="P236" s="102"/>
      <c r="Q236" s="102"/>
      <c r="R236" s="234"/>
      <c r="S236" s="234"/>
      <c r="T236" s="234"/>
      <c r="U236" s="234"/>
      <c r="V236" s="224"/>
      <c r="W236" s="224">
        <v>723279.94</v>
      </c>
      <c r="X236" s="224"/>
      <c r="Y236" s="84">
        <v>723279.94</v>
      </c>
      <c r="Z236" s="102" t="s">
        <v>263</v>
      </c>
      <c r="AA236" s="53"/>
      <c r="AB236" s="52"/>
      <c r="AC236" s="9"/>
      <c r="AD236" s="52"/>
    </row>
    <row r="237" spans="1:30" ht="12.75" customHeight="1">
      <c r="A237" s="274" t="s">
        <v>60</v>
      </c>
      <c r="B237" s="274"/>
      <c r="C237" s="224">
        <f aca="true" t="shared" si="57" ref="C237:W237">SUM(C232:C236)</f>
        <v>1812168.49</v>
      </c>
      <c r="D237" s="224">
        <f t="shared" si="57"/>
        <v>0</v>
      </c>
      <c r="E237" s="224">
        <f t="shared" si="57"/>
        <v>0</v>
      </c>
      <c r="F237" s="224">
        <f t="shared" si="57"/>
        <v>0</v>
      </c>
      <c r="G237" s="224">
        <f t="shared" si="57"/>
        <v>0</v>
      </c>
      <c r="H237" s="224">
        <f t="shared" si="57"/>
        <v>0</v>
      </c>
      <c r="I237" s="224">
        <f t="shared" si="57"/>
        <v>0</v>
      </c>
      <c r="J237" s="224">
        <f t="shared" si="57"/>
        <v>0</v>
      </c>
      <c r="K237" s="224">
        <f t="shared" si="57"/>
        <v>0</v>
      </c>
      <c r="L237" s="224">
        <f t="shared" si="57"/>
        <v>0</v>
      </c>
      <c r="M237" s="224">
        <f t="shared" si="57"/>
        <v>0</v>
      </c>
      <c r="N237" s="224">
        <f t="shared" si="57"/>
        <v>0</v>
      </c>
      <c r="O237" s="224">
        <f t="shared" si="57"/>
        <v>0</v>
      </c>
      <c r="P237" s="224">
        <f t="shared" si="57"/>
        <v>0</v>
      </c>
      <c r="Q237" s="224">
        <f t="shared" si="57"/>
        <v>0</v>
      </c>
      <c r="R237" s="224">
        <f t="shared" si="57"/>
        <v>0</v>
      </c>
      <c r="S237" s="224">
        <f t="shared" si="57"/>
        <v>0</v>
      </c>
      <c r="T237" s="224">
        <f t="shared" si="57"/>
        <v>0</v>
      </c>
      <c r="U237" s="224">
        <f t="shared" si="57"/>
        <v>0</v>
      </c>
      <c r="V237" s="224">
        <f t="shared" si="57"/>
        <v>0</v>
      </c>
      <c r="W237" s="224">
        <f t="shared" si="57"/>
        <v>1812168.49</v>
      </c>
      <c r="X237" s="224">
        <f>C237-W237</f>
        <v>0</v>
      </c>
      <c r="Y237" s="224"/>
      <c r="Z237" s="224"/>
      <c r="AA237" s="53">
        <f>E237+F237+G237+H237+I237+K237+M237+O237+Q237+S237+U237+W237+V237+X237</f>
        <v>1812168.49</v>
      </c>
      <c r="AB237" s="52">
        <f>AA237-C237</f>
        <v>0</v>
      </c>
      <c r="AC237" s="52"/>
      <c r="AD237" s="52"/>
    </row>
    <row r="238" spans="1:31" s="12" customFormat="1" ht="12.75" customHeight="1">
      <c r="A238" s="259" t="s">
        <v>84</v>
      </c>
      <c r="B238" s="259"/>
      <c r="C238" s="243">
        <f>C237</f>
        <v>1812168.49</v>
      </c>
      <c r="D238" s="243">
        <f aca="true" t="shared" si="58" ref="D238:Q238">D237</f>
        <v>0</v>
      </c>
      <c r="E238" s="243">
        <f t="shared" si="58"/>
        <v>0</v>
      </c>
      <c r="F238" s="243">
        <f t="shared" si="58"/>
        <v>0</v>
      </c>
      <c r="G238" s="243">
        <f t="shared" si="58"/>
        <v>0</v>
      </c>
      <c r="H238" s="243">
        <f t="shared" si="58"/>
        <v>0</v>
      </c>
      <c r="I238" s="243">
        <f t="shared" si="58"/>
        <v>0</v>
      </c>
      <c r="J238" s="243">
        <f t="shared" si="58"/>
        <v>0</v>
      </c>
      <c r="K238" s="243">
        <f t="shared" si="58"/>
        <v>0</v>
      </c>
      <c r="L238" s="243">
        <f t="shared" si="58"/>
        <v>0</v>
      </c>
      <c r="M238" s="243">
        <f t="shared" si="58"/>
        <v>0</v>
      </c>
      <c r="N238" s="243">
        <f t="shared" si="58"/>
        <v>0</v>
      </c>
      <c r="O238" s="243">
        <f t="shared" si="58"/>
        <v>0</v>
      </c>
      <c r="P238" s="243">
        <f t="shared" si="58"/>
        <v>0</v>
      </c>
      <c r="Q238" s="243">
        <f t="shared" si="58"/>
        <v>0</v>
      </c>
      <c r="R238" s="243">
        <f aca="true" t="shared" si="59" ref="R238:W238">R237</f>
        <v>0</v>
      </c>
      <c r="S238" s="243">
        <f t="shared" si="59"/>
        <v>0</v>
      </c>
      <c r="T238" s="243">
        <f t="shared" si="59"/>
        <v>0</v>
      </c>
      <c r="U238" s="243">
        <f t="shared" si="59"/>
        <v>0</v>
      </c>
      <c r="V238" s="243">
        <f t="shared" si="59"/>
        <v>0</v>
      </c>
      <c r="W238" s="243">
        <f t="shared" si="59"/>
        <v>1812168.49</v>
      </c>
      <c r="X238" s="224">
        <f>C238-W238</f>
        <v>0</v>
      </c>
      <c r="Y238" s="243"/>
      <c r="Z238" s="243"/>
      <c r="AA238" s="53"/>
      <c r="AB238" s="52"/>
      <c r="AC238" s="52"/>
      <c r="AD238" s="52"/>
      <c r="AE238" s="51"/>
    </row>
    <row r="239" spans="1:30" ht="12.75">
      <c r="A239" s="267" t="s">
        <v>85</v>
      </c>
      <c r="B239" s="267"/>
      <c r="C239" s="243">
        <f aca="true" t="shared" si="60" ref="C239:W239">C18+C23+C29+C38+C88+C119+C125+C135+C148+C179+C210+C221+C226+C229+C238</f>
        <v>90301979.37899998</v>
      </c>
      <c r="D239" s="243">
        <f t="shared" si="60"/>
        <v>0</v>
      </c>
      <c r="E239" s="243">
        <f t="shared" si="60"/>
        <v>0</v>
      </c>
      <c r="F239" s="243">
        <f t="shared" si="60"/>
        <v>0</v>
      </c>
      <c r="G239" s="243">
        <f t="shared" si="60"/>
        <v>0</v>
      </c>
      <c r="H239" s="243">
        <f t="shared" si="60"/>
        <v>0</v>
      </c>
      <c r="I239" s="243">
        <f t="shared" si="60"/>
        <v>0</v>
      </c>
      <c r="J239" s="243">
        <f t="shared" si="60"/>
        <v>0</v>
      </c>
      <c r="K239" s="243">
        <f t="shared" si="60"/>
        <v>0</v>
      </c>
      <c r="L239" s="243">
        <f t="shared" si="60"/>
        <v>2085</v>
      </c>
      <c r="M239" s="243">
        <f t="shared" si="60"/>
        <v>2913308.48</v>
      </c>
      <c r="N239" s="243">
        <f t="shared" si="60"/>
        <v>0</v>
      </c>
      <c r="O239" s="243">
        <f t="shared" si="60"/>
        <v>0</v>
      </c>
      <c r="P239" s="243">
        <f t="shared" si="60"/>
        <v>4617</v>
      </c>
      <c r="Q239" s="243">
        <f t="shared" si="60"/>
        <v>26709433.65</v>
      </c>
      <c r="R239" s="243">
        <f t="shared" si="60"/>
        <v>0</v>
      </c>
      <c r="S239" s="243">
        <f t="shared" si="60"/>
        <v>0</v>
      </c>
      <c r="T239" s="243">
        <f t="shared" si="60"/>
        <v>0</v>
      </c>
      <c r="U239" s="243">
        <f t="shared" si="60"/>
        <v>0</v>
      </c>
      <c r="V239" s="243">
        <f t="shared" si="60"/>
        <v>0</v>
      </c>
      <c r="W239" s="243">
        <f t="shared" si="60"/>
        <v>60679237.24899999</v>
      </c>
      <c r="X239" s="243">
        <f>X238+X229+X221+X210+X179+X135+X119+X88+X38+X29+X18+X148+X125+X226</f>
        <v>0</v>
      </c>
      <c r="Y239" s="243"/>
      <c r="Z239" s="243"/>
      <c r="AA239" s="53">
        <f>SUM(AA7:AA238)</f>
        <v>73256679.77899998</v>
      </c>
      <c r="AB239" s="52">
        <f>AA239-C239</f>
        <v>-17045299.599999994</v>
      </c>
      <c r="AC239" s="52"/>
      <c r="AD239" s="52"/>
    </row>
    <row r="240" spans="1:30" ht="12.75" customHeight="1">
      <c r="A240" s="297" t="s">
        <v>86</v>
      </c>
      <c r="B240" s="297"/>
      <c r="C240" s="204">
        <f>C245*0.0214</f>
        <v>633926.6815819998</v>
      </c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53">
        <f>E240+F240+G240+H240+I240+K240+M240+O240+Q240+S240+U240+W240+V240+X240</f>
        <v>0</v>
      </c>
      <c r="AB240" s="52">
        <f>AA240-C240</f>
        <v>-633926.6815819998</v>
      </c>
      <c r="AD240" s="52"/>
    </row>
    <row r="241" spans="1:30" ht="27.75" customHeight="1">
      <c r="A241" s="276" t="s">
        <v>87</v>
      </c>
      <c r="B241" s="278"/>
      <c r="C241" s="204">
        <f>C239+C240</f>
        <v>90935906.06058198</v>
      </c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53">
        <f>E241+F241+G241+H241+I241+K241+M241+O241+Q241+S241+U241+W241+V241+X241</f>
        <v>0</v>
      </c>
      <c r="AB241" s="52">
        <f>AA241-C241</f>
        <v>-90935906.06058198</v>
      </c>
      <c r="AD241" s="52"/>
    </row>
    <row r="242" ht="12.75" hidden="1">
      <c r="AD242" s="52"/>
    </row>
    <row r="243" spans="3:30" ht="12.75" hidden="1">
      <c r="C243" s="205">
        <f>(C239-W239-X239)*2.14/100</f>
        <v>633926.6815819998</v>
      </c>
      <c r="D243" s="5">
        <f>E239+F239+G239+H239+I239+K239+M239+O239+Q239+S239+U239+V239+W239+X239</f>
        <v>90301979.379</v>
      </c>
      <c r="Y243" s="5" t="e">
        <f>Y12+Y13+Y16+Y26+Y27+Y35+Y36+#REF!+Y41+Y42+Y45+Y46+Y47+Y48+#REF!+Y51+#REF!+Y52+Y54+Y58+#REF!+Y69+Y70+Y71+Y72+Y73+Y74+Y75+Y85+#REF!+Y91+Y92+Y93+Y96+Y97+Y100+Y101+Y102+Y103+Y104+Y105+Y106+Y107+Y108+Y109+Y110+Y111+Y112+Y113+Y114+Y115+Y116+Y117+#REF!+Y122+Y123+#REF!+#REF!+#REF!+#REF!+Y128+Y129+Y130+Y131+Y132+Y133+Y157+Y158+Y159+Y160+Y160+Y166+Y182+Y185+Y186+Y187+Y188+Y189+Y190+Y191+Y192+Y193+Y194+Y198+Y200+Y201+Y202+Y203+#REF!+#REF!+Y206+Y213+Y216+Y219+Y232+Y233+Y234+Y235+Y236+Y154+Y153+Y152+Y151+Y59+Y60+Y57+Y56+Y55+Y228+Y177+#REF!+#REF!+#REF!+#REF!+#REF!+#REF!+#REF!</f>
        <v>#REF!</v>
      </c>
      <c r="AD243" s="52"/>
    </row>
    <row r="244" ht="12.75" hidden="1">
      <c r="AD244" s="52"/>
    </row>
    <row r="245" spans="3:30" ht="12.75" hidden="1">
      <c r="C245" s="5">
        <f>C239-W239</f>
        <v>29622742.129999988</v>
      </c>
      <c r="AD245" s="52"/>
    </row>
    <row r="246" ht="12.75" hidden="1">
      <c r="AD246" s="52"/>
    </row>
    <row r="247" ht="12.75" hidden="1">
      <c r="AD247" s="52"/>
    </row>
    <row r="248" ht="12.75" hidden="1">
      <c r="AD248" s="52"/>
    </row>
    <row r="249" ht="12.75">
      <c r="AD249" s="52"/>
    </row>
    <row r="250" ht="12.75"/>
  </sheetData>
  <sheetProtection/>
  <autoFilter ref="A9:Z87"/>
  <mergeCells count="139">
    <mergeCell ref="A195:B195"/>
    <mergeCell ref="A176:C176"/>
    <mergeCell ref="A180:X180"/>
    <mergeCell ref="A156:C156"/>
    <mergeCell ref="D156:X156"/>
    <mergeCell ref="A178:B178"/>
    <mergeCell ref="A167:B167"/>
    <mergeCell ref="A161:B161"/>
    <mergeCell ref="A179:B179"/>
    <mergeCell ref="D165:X165"/>
    <mergeCell ref="A215:C215"/>
    <mergeCell ref="A181:C181"/>
    <mergeCell ref="A184:C184"/>
    <mergeCell ref="A183:B183"/>
    <mergeCell ref="A155:B155"/>
    <mergeCell ref="A162:C162"/>
    <mergeCell ref="A168:C168"/>
    <mergeCell ref="A165:C165"/>
    <mergeCell ref="A164:B164"/>
    <mergeCell ref="A175:B175"/>
    <mergeCell ref="Y4:Y6"/>
    <mergeCell ref="Z4:Z6"/>
    <mergeCell ref="A77:C77"/>
    <mergeCell ref="A83:B83"/>
    <mergeCell ref="A68:C68"/>
    <mergeCell ref="A43:B43"/>
    <mergeCell ref="A61:B61"/>
    <mergeCell ref="A40:C40"/>
    <mergeCell ref="A20:C20"/>
    <mergeCell ref="D20:X20"/>
    <mergeCell ref="D199:X199"/>
    <mergeCell ref="A204:B204"/>
    <mergeCell ref="A205:C205"/>
    <mergeCell ref="A95:C95"/>
    <mergeCell ref="A89:X89"/>
    <mergeCell ref="A87:B87"/>
    <mergeCell ref="A196:C196"/>
    <mergeCell ref="A125:B125"/>
    <mergeCell ref="A88:B88"/>
    <mergeCell ref="D196:X196"/>
    <mergeCell ref="A240:B240"/>
    <mergeCell ref="A241:B241"/>
    <mergeCell ref="A239:B239"/>
    <mergeCell ref="A238:B238"/>
    <mergeCell ref="A230:X230"/>
    <mergeCell ref="A231:C231"/>
    <mergeCell ref="D231:X231"/>
    <mergeCell ref="A237:B237"/>
    <mergeCell ref="A229:B229"/>
    <mergeCell ref="A221:B221"/>
    <mergeCell ref="A217:B217"/>
    <mergeCell ref="A218:C218"/>
    <mergeCell ref="D218:X218"/>
    <mergeCell ref="A220:B220"/>
    <mergeCell ref="A227:X227"/>
    <mergeCell ref="A222:Z222"/>
    <mergeCell ref="A226:B226"/>
    <mergeCell ref="A225:B225"/>
    <mergeCell ref="D215:X215"/>
    <mergeCell ref="A211:X211"/>
    <mergeCell ref="A210:B210"/>
    <mergeCell ref="A212:C212"/>
    <mergeCell ref="D212:X212"/>
    <mergeCell ref="A198:B198"/>
    <mergeCell ref="D205:X205"/>
    <mergeCell ref="A214:B214"/>
    <mergeCell ref="A209:B209"/>
    <mergeCell ref="A199:C199"/>
    <mergeCell ref="A136:X136"/>
    <mergeCell ref="D127:X127"/>
    <mergeCell ref="A126:X126"/>
    <mergeCell ref="A137:C137"/>
    <mergeCell ref="A150:C150"/>
    <mergeCell ref="A144:B144"/>
    <mergeCell ref="A149:X149"/>
    <mergeCell ref="D150:X150"/>
    <mergeCell ref="A147:B147"/>
    <mergeCell ref="A148:B148"/>
    <mergeCell ref="A121:C121"/>
    <mergeCell ref="A98:B98"/>
    <mergeCell ref="A99:C99"/>
    <mergeCell ref="D99:X99"/>
    <mergeCell ref="A119:B119"/>
    <mergeCell ref="A135:B135"/>
    <mergeCell ref="A118:B118"/>
    <mergeCell ref="A120:X120"/>
    <mergeCell ref="A145:C145"/>
    <mergeCell ref="A124:B124"/>
    <mergeCell ref="A134:B134"/>
    <mergeCell ref="A127:C127"/>
    <mergeCell ref="A76:B76"/>
    <mergeCell ref="D95:X95"/>
    <mergeCell ref="D84:X84"/>
    <mergeCell ref="A90:C90"/>
    <mergeCell ref="A84:C84"/>
    <mergeCell ref="A94:B94"/>
    <mergeCell ref="A37:B37"/>
    <mergeCell ref="A67:B67"/>
    <mergeCell ref="A44:C44"/>
    <mergeCell ref="D44:X44"/>
    <mergeCell ref="A31:C31"/>
    <mergeCell ref="A34:C34"/>
    <mergeCell ref="A38:B38"/>
    <mergeCell ref="A39:X39"/>
    <mergeCell ref="A62:C62"/>
    <mergeCell ref="D34:X34"/>
    <mergeCell ref="A30:X30"/>
    <mergeCell ref="A33:B33"/>
    <mergeCell ref="A24:X24"/>
    <mergeCell ref="A18:B18"/>
    <mergeCell ref="D5:D6"/>
    <mergeCell ref="A19:X19"/>
    <mergeCell ref="A10:X10"/>
    <mergeCell ref="E5:I5"/>
    <mergeCell ref="R4:S6"/>
    <mergeCell ref="J4:K6"/>
    <mergeCell ref="A1:X1"/>
    <mergeCell ref="A3:A7"/>
    <mergeCell ref="B3:B7"/>
    <mergeCell ref="C3:C6"/>
    <mergeCell ref="D3:X3"/>
    <mergeCell ref="A14:B14"/>
    <mergeCell ref="D4:I4"/>
    <mergeCell ref="L4:M6"/>
    <mergeCell ref="X4:X6"/>
    <mergeCell ref="T4:U6"/>
    <mergeCell ref="A11:C11"/>
    <mergeCell ref="D11:X11"/>
    <mergeCell ref="W4:W6"/>
    <mergeCell ref="P4:Q6"/>
    <mergeCell ref="N4:O6"/>
    <mergeCell ref="V4:V6"/>
    <mergeCell ref="A29:B29"/>
    <mergeCell ref="A28:B28"/>
    <mergeCell ref="A17:B17"/>
    <mergeCell ref="D25:X25"/>
    <mergeCell ref="A22:B22"/>
    <mergeCell ref="A23:B23"/>
    <mergeCell ref="A25:C25"/>
  </mergeCells>
  <printOptions horizontalCentered="1"/>
  <pageMargins left="0.15748031496062992" right="0.15748031496062992" top="0.35433070866141736" bottom="0.2362204724409449" header="0.15748031496062992" footer="0.15748031496062992"/>
  <pageSetup fitToHeight="100" fitToWidth="1" horizontalDpi="600" verticalDpi="600" orientation="landscape" paperSize="9" scale="42" r:id="rId1"/>
  <headerFoot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D4:G5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11.421875" style="15" bestFit="1" customWidth="1"/>
    <col min="5" max="5" width="10.00390625" style="15" bestFit="1" customWidth="1"/>
    <col min="6" max="6" width="13.7109375" style="15" customWidth="1"/>
    <col min="7" max="7" width="17.140625" style="15" customWidth="1"/>
    <col min="8" max="8" width="21.57421875" style="15" customWidth="1"/>
    <col min="9" max="11" width="9.140625" style="15" customWidth="1"/>
  </cols>
  <sheetData>
    <row r="4" spans="5:7" ht="15">
      <c r="E4" s="15" t="s">
        <v>240</v>
      </c>
      <c r="G4" s="15" t="s">
        <v>241</v>
      </c>
    </row>
    <row r="5" spans="4:7" ht="15">
      <c r="D5" s="15">
        <v>1500000</v>
      </c>
      <c r="E5" s="15">
        <f>D5*20/100</f>
        <v>300000</v>
      </c>
      <c r="F5" s="15">
        <f>D5-E5</f>
        <v>1200000</v>
      </c>
      <c r="G5" s="15">
        <v>200000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2019-12-24T05:01:16Z</dcterms:modified>
  <cp:category/>
  <cp:version/>
  <cp:contentType/>
  <cp:contentStatus/>
</cp:coreProperties>
</file>