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450" windowWidth="27345" windowHeight="12015" tabRatio="663" activeTab="1"/>
  </bookViews>
  <sheets>
    <sheet name="характеристика мкд" sheetId="5" r:id="rId1"/>
    <sheet name="виды работ " sheetId="3" r:id="rId2"/>
    <sheet name="Лист1" sheetId="6" r:id="rId3"/>
  </sheets>
  <definedNames>
    <definedName name="_xlnm._FilterDatabase" localSheetId="1" hidden="1">'виды работ '!$A$8:$AC$625</definedName>
    <definedName name="_xlnm._FilterDatabase" localSheetId="0" hidden="1">'характеристика мкд'!$A$12:$X$309</definedName>
    <definedName name="_xlnm.Print_Titles" localSheetId="1">'виды работ '!$8:$8</definedName>
    <definedName name="_xlnm.Print_Titles" localSheetId="0">'характеристика мкд'!$12:$12</definedName>
    <definedName name="_xlnm.Print_Area" localSheetId="1">'виды работ '!$A$1:$X$625</definedName>
    <definedName name="_xlnm.Print_Area" localSheetId="0">'характеристика мкд'!$A$1:$T$628</definedName>
  </definedNames>
  <calcPr calcId="145621"/>
</workbook>
</file>

<file path=xl/calcChain.xml><?xml version="1.0" encoding="utf-8"?>
<calcChain xmlns="http://schemas.openxmlformats.org/spreadsheetml/2006/main">
  <c r="A230" i="3" l="1"/>
  <c r="A231" i="3"/>
  <c r="A232" i="3"/>
  <c r="A233" i="3" s="1"/>
  <c r="A234" i="3" s="1"/>
  <c r="L243" i="5" l="1"/>
  <c r="L244" i="5"/>
  <c r="W239" i="3" l="1"/>
  <c r="C239" i="3"/>
  <c r="C230" i="3" l="1"/>
  <c r="Z230" i="3"/>
  <c r="AA230" i="3"/>
  <c r="L234" i="5"/>
  <c r="Q234" i="5" l="1"/>
  <c r="P234" i="5"/>
  <c r="V35" i="5"/>
  <c r="V40" i="5"/>
  <c r="V50" i="5"/>
  <c r="V54" i="5"/>
  <c r="V55" i="5"/>
  <c r="V58" i="5"/>
  <c r="V62" i="5"/>
  <c r="V65" i="5"/>
  <c r="V70" i="5"/>
  <c r="V73" i="5"/>
  <c r="V77" i="5"/>
  <c r="V78" i="5"/>
  <c r="V84" i="5"/>
  <c r="V89" i="5"/>
  <c r="V93" i="5"/>
  <c r="V96" i="5"/>
  <c r="V110" i="5"/>
  <c r="V113" i="5"/>
  <c r="V127" i="5"/>
  <c r="V133" i="5"/>
  <c r="V138" i="5"/>
  <c r="V139" i="5"/>
  <c r="V146" i="5"/>
  <c r="V150" i="5"/>
  <c r="V158" i="5"/>
  <c r="V166" i="5"/>
  <c r="V169" i="5"/>
  <c r="V178" i="5"/>
  <c r="V188" i="5"/>
  <c r="V189" i="5"/>
  <c r="V195" i="5"/>
  <c r="V207" i="5"/>
  <c r="V211" i="5"/>
  <c r="V214" i="5"/>
  <c r="V220" i="5"/>
  <c r="V228" i="5"/>
  <c r="V229" i="5"/>
  <c r="V260" i="5"/>
  <c r="V263" i="5"/>
  <c r="V267" i="5"/>
  <c r="V268" i="5"/>
  <c r="V274" i="5"/>
  <c r="V281" i="5"/>
  <c r="V287" i="5"/>
  <c r="V288" i="5"/>
  <c r="V292" i="5"/>
  <c r="V297" i="5"/>
  <c r="V298" i="5"/>
  <c r="V309" i="5"/>
  <c r="V313" i="5"/>
  <c r="V317" i="5"/>
  <c r="V320" i="5"/>
  <c r="V324" i="5"/>
  <c r="V327" i="5"/>
  <c r="V330" i="5"/>
  <c r="V335" i="5"/>
  <c r="V336" i="5"/>
  <c r="V353" i="5"/>
  <c r="V354" i="5"/>
  <c r="V358" i="5"/>
  <c r="V361" i="5"/>
  <c r="V364" i="5"/>
  <c r="V369" i="5"/>
  <c r="V373" i="5"/>
  <c r="V379" i="5"/>
  <c r="V384" i="5"/>
  <c r="V385" i="5"/>
  <c r="V394" i="5"/>
  <c r="V406" i="5"/>
  <c r="V413" i="5"/>
  <c r="V419" i="5"/>
  <c r="V425" i="5"/>
  <c r="V434" i="5"/>
  <c r="V440" i="5"/>
  <c r="V441" i="5"/>
  <c r="V444" i="5"/>
  <c r="V447" i="5"/>
  <c r="V451" i="5"/>
  <c r="V459" i="5"/>
  <c r="V460" i="5"/>
  <c r="V463" i="5"/>
  <c r="V466" i="5"/>
  <c r="V476" i="5"/>
  <c r="V479" i="5"/>
  <c r="V488" i="5"/>
  <c r="V494" i="5"/>
  <c r="V495" i="5"/>
  <c r="V498" i="5"/>
  <c r="V504" i="5"/>
  <c r="V533" i="5"/>
  <c r="V548" i="5"/>
  <c r="V549" i="5"/>
  <c r="V553" i="5"/>
  <c r="V556" i="5"/>
  <c r="V559" i="5"/>
  <c r="V577" i="5"/>
  <c r="V589" i="5"/>
  <c r="V590" i="5"/>
  <c r="V593" i="5"/>
  <c r="V599" i="5"/>
  <c r="V607" i="5"/>
  <c r="V611" i="5"/>
  <c r="V31" i="5"/>
  <c r="U234" i="5" l="1"/>
  <c r="V234" i="5" s="1"/>
  <c r="W253" i="3"/>
  <c r="F263" i="3" l="1"/>
  <c r="G263" i="3"/>
  <c r="H263" i="3"/>
  <c r="I263" i="3"/>
  <c r="J263" i="3"/>
  <c r="K263" i="3"/>
  <c r="N263" i="3"/>
  <c r="O263" i="3"/>
  <c r="R263" i="3"/>
  <c r="S263" i="3"/>
  <c r="V263" i="3"/>
  <c r="W322" i="3" l="1"/>
  <c r="W236" i="3"/>
  <c r="C236" i="3" s="1"/>
  <c r="W619" i="3" l="1"/>
  <c r="W618" i="3"/>
  <c r="W617" i="3"/>
  <c r="W602" i="3"/>
  <c r="W601" i="3"/>
  <c r="W600" i="3"/>
  <c r="W599" i="3"/>
  <c r="W594" i="3"/>
  <c r="W559" i="3"/>
  <c r="W558" i="3"/>
  <c r="W526" i="3"/>
  <c r="W510" i="3"/>
  <c r="W509" i="3"/>
  <c r="W508" i="3"/>
  <c r="W507" i="3"/>
  <c r="W506" i="3"/>
  <c r="W503" i="3"/>
  <c r="W502" i="3"/>
  <c r="W480" i="3"/>
  <c r="W479" i="3"/>
  <c r="W478" i="3"/>
  <c r="W477" i="3"/>
  <c r="W471" i="3"/>
  <c r="W470" i="3"/>
  <c r="W469" i="3"/>
  <c r="W468" i="3"/>
  <c r="W467" i="3"/>
  <c r="W461" i="3"/>
  <c r="W458" i="3"/>
  <c r="W429" i="3"/>
  <c r="W427" i="3"/>
  <c r="W428" i="3"/>
  <c r="W426" i="3"/>
  <c r="W425" i="3"/>
  <c r="W424" i="3"/>
  <c r="W423" i="3"/>
  <c r="W413" i="3"/>
  <c r="W412" i="3"/>
  <c r="W408" i="3"/>
  <c r="W407" i="3"/>
  <c r="W405" i="3"/>
  <c r="W401" i="3"/>
  <c r="W400" i="3"/>
  <c r="W399" i="3"/>
  <c r="W398" i="3"/>
  <c r="W397" i="3"/>
  <c r="W396" i="3"/>
  <c r="W389" i="3"/>
  <c r="W387" i="3"/>
  <c r="W386" i="3"/>
  <c r="W374" i="3"/>
  <c r="W373" i="3"/>
  <c r="W372" i="3"/>
  <c r="W371" i="3"/>
  <c r="W359" i="3"/>
  <c r="W353" i="3"/>
  <c r="W352" i="3" l="1"/>
  <c r="W312" i="3"/>
  <c r="W304" i="3"/>
  <c r="W302" i="3"/>
  <c r="W298" i="3"/>
  <c r="W297" i="3"/>
  <c r="W296" i="3"/>
  <c r="W255" i="3"/>
  <c r="W254" i="3"/>
  <c r="W251" i="3"/>
  <c r="W250" i="3"/>
  <c r="W249" i="3"/>
  <c r="W247" i="3"/>
  <c r="W246" i="3"/>
  <c r="W245" i="3"/>
  <c r="W244" i="3"/>
  <c r="W241" i="3"/>
  <c r="W240" i="3"/>
  <c r="W238" i="3"/>
  <c r="W237" i="3"/>
  <c r="W235" i="3"/>
  <c r="W231" i="3"/>
  <c r="W222" i="3"/>
  <c r="W221" i="3"/>
  <c r="W220" i="3"/>
  <c r="W219" i="3"/>
  <c r="W218" i="3"/>
  <c r="W215" i="3"/>
  <c r="W214" i="3"/>
  <c r="W213" i="3"/>
  <c r="W212" i="3"/>
  <c r="W198" i="3"/>
  <c r="W197" i="3"/>
  <c r="W187" i="3"/>
  <c r="W172" i="3"/>
  <c r="W168" i="3"/>
  <c r="W167" i="3"/>
  <c r="W159" i="3"/>
  <c r="W156" i="3"/>
  <c r="W132" i="3"/>
  <c r="W131" i="3"/>
  <c r="W119" i="3"/>
  <c r="W94" i="3" l="1"/>
  <c r="W91" i="3"/>
  <c r="W88" i="3"/>
  <c r="W87" i="3"/>
  <c r="W76" i="3"/>
  <c r="C45" i="3"/>
  <c r="W26" i="3"/>
  <c r="W22" i="3"/>
  <c r="W21" i="3"/>
  <c r="W19" i="3"/>
  <c r="D293" i="3" l="1"/>
  <c r="E293" i="3"/>
  <c r="F293" i="3"/>
  <c r="G293" i="3"/>
  <c r="H293" i="3"/>
  <c r="I293" i="3"/>
  <c r="L293" i="3"/>
  <c r="M293" i="3"/>
  <c r="N293" i="3"/>
  <c r="O293" i="3"/>
  <c r="P293" i="3"/>
  <c r="Q293" i="3"/>
  <c r="R293" i="3"/>
  <c r="S293" i="3"/>
  <c r="T293" i="3"/>
  <c r="U293" i="3"/>
  <c r="V293" i="3"/>
  <c r="C576" i="3" l="1"/>
  <c r="H358" i="5" l="1"/>
  <c r="T555" i="3" l="1"/>
  <c r="U555" i="3"/>
  <c r="H588" i="5"/>
  <c r="T360" i="3" l="1"/>
  <c r="U360" i="3"/>
  <c r="C558" i="3"/>
  <c r="L562" i="5" s="1"/>
  <c r="V561" i="5" s="1"/>
  <c r="Q563" i="5"/>
  <c r="C559" i="3"/>
  <c r="L563" i="5" s="1"/>
  <c r="V562" i="5" s="1"/>
  <c r="D593" i="3"/>
  <c r="C593" i="3" s="1"/>
  <c r="L597" i="5" s="1"/>
  <c r="V596" i="5" s="1"/>
  <c r="I625" i="5"/>
  <c r="J625" i="5"/>
  <c r="K625" i="5"/>
  <c r="M625" i="5"/>
  <c r="N625" i="5"/>
  <c r="O625" i="5"/>
  <c r="H625" i="5"/>
  <c r="L621" i="3"/>
  <c r="M621" i="3"/>
  <c r="P621" i="3"/>
  <c r="Q621" i="3"/>
  <c r="W621" i="3"/>
  <c r="E584" i="3"/>
  <c r="L584" i="3"/>
  <c r="M584" i="3"/>
  <c r="P584" i="3"/>
  <c r="T584" i="3"/>
  <c r="T585" i="3" s="1"/>
  <c r="U584" i="3"/>
  <c r="U585" i="3" s="1"/>
  <c r="F573" i="3"/>
  <c r="L573" i="3"/>
  <c r="M573" i="3"/>
  <c r="N573" i="3"/>
  <c r="N585" i="3" s="1"/>
  <c r="P573" i="3"/>
  <c r="X573" i="3"/>
  <c r="I577" i="5"/>
  <c r="J577" i="5"/>
  <c r="K577" i="5"/>
  <c r="M577" i="5"/>
  <c r="N577" i="5"/>
  <c r="O577" i="5"/>
  <c r="H577" i="5"/>
  <c r="J528" i="3"/>
  <c r="J529" i="3" s="1"/>
  <c r="K528" i="3"/>
  <c r="K529" i="3" s="1"/>
  <c r="L528" i="3"/>
  <c r="L529" i="3" s="1"/>
  <c r="M528" i="3"/>
  <c r="M529" i="3" s="1"/>
  <c r="P528" i="3"/>
  <c r="P529" i="3" s="1"/>
  <c r="Q528" i="3"/>
  <c r="Q529" i="3" s="1"/>
  <c r="W528" i="3"/>
  <c r="X529" i="3"/>
  <c r="I532" i="5"/>
  <c r="J532" i="5"/>
  <c r="K532" i="5"/>
  <c r="M532" i="5"/>
  <c r="N532" i="5"/>
  <c r="O532" i="5"/>
  <c r="H532" i="5"/>
  <c r="I493" i="5"/>
  <c r="J493" i="5"/>
  <c r="K493" i="5"/>
  <c r="M493" i="5"/>
  <c r="N493" i="5"/>
  <c r="O493" i="5"/>
  <c r="H493" i="5"/>
  <c r="E489" i="3"/>
  <c r="L489" i="3"/>
  <c r="M489" i="3"/>
  <c r="W489" i="3"/>
  <c r="F454" i="3"/>
  <c r="F455" i="3" s="1"/>
  <c r="L454" i="3"/>
  <c r="M454" i="3"/>
  <c r="P454" i="3"/>
  <c r="Q454" i="3"/>
  <c r="R454" i="3"/>
  <c r="R455" i="3" s="1"/>
  <c r="S454" i="3"/>
  <c r="S455" i="3" s="1"/>
  <c r="W454" i="3"/>
  <c r="I458" i="5"/>
  <c r="J458" i="5"/>
  <c r="K458" i="5"/>
  <c r="M458" i="5"/>
  <c r="N458" i="5"/>
  <c r="O458" i="5"/>
  <c r="H458" i="5"/>
  <c r="L435" i="3"/>
  <c r="M435" i="3"/>
  <c r="W435" i="3"/>
  <c r="I439" i="5"/>
  <c r="J439" i="5"/>
  <c r="K439" i="5"/>
  <c r="M439" i="5"/>
  <c r="N439" i="5"/>
  <c r="O439" i="5"/>
  <c r="H439" i="5"/>
  <c r="H425" i="5"/>
  <c r="L409" i="3"/>
  <c r="M409" i="3"/>
  <c r="X409" i="3"/>
  <c r="I413" i="5"/>
  <c r="J413" i="5"/>
  <c r="K413" i="5"/>
  <c r="M413" i="5"/>
  <c r="N413" i="5"/>
  <c r="O413" i="5"/>
  <c r="H413" i="5"/>
  <c r="H352" i="5"/>
  <c r="L348" i="3"/>
  <c r="L349" i="3" s="1"/>
  <c r="M348" i="3"/>
  <c r="M349" i="3" s="1"/>
  <c r="P348" i="3"/>
  <c r="P349" i="3" s="1"/>
  <c r="Q348" i="3"/>
  <c r="Q349" i="3" s="1"/>
  <c r="T348" i="3"/>
  <c r="T349" i="3" s="1"/>
  <c r="W348" i="3"/>
  <c r="W349" i="3" s="1"/>
  <c r="X348" i="3"/>
  <c r="X349" i="3" s="1"/>
  <c r="H260" i="5"/>
  <c r="E123" i="3"/>
  <c r="E134" i="3" s="1"/>
  <c r="L123" i="3"/>
  <c r="M123" i="3"/>
  <c r="P123" i="3"/>
  <c r="Q123" i="3"/>
  <c r="R123" i="3"/>
  <c r="R134" i="3" s="1"/>
  <c r="S123" i="3"/>
  <c r="S134" i="3" s="1"/>
  <c r="X123" i="3"/>
  <c r="J127" i="5"/>
  <c r="K127" i="5"/>
  <c r="M127" i="5"/>
  <c r="N127" i="5"/>
  <c r="O127" i="5"/>
  <c r="H127" i="5"/>
  <c r="I31" i="5"/>
  <c r="J31" i="5"/>
  <c r="K31" i="5"/>
  <c r="M31" i="5"/>
  <c r="N31" i="5"/>
  <c r="O31" i="5"/>
  <c r="H31" i="5"/>
  <c r="L27" i="3"/>
  <c r="M27" i="3"/>
  <c r="P27" i="3"/>
  <c r="Q27" i="3"/>
  <c r="W27" i="3"/>
  <c r="X27" i="3"/>
  <c r="I178" i="5"/>
  <c r="J178" i="5"/>
  <c r="K178" i="5"/>
  <c r="M178" i="5"/>
  <c r="N178" i="5"/>
  <c r="O178" i="5"/>
  <c r="H178" i="5"/>
  <c r="E174" i="3"/>
  <c r="L174" i="3"/>
  <c r="M174" i="3"/>
  <c r="P174" i="3"/>
  <c r="Q174" i="3"/>
  <c r="W174" i="3"/>
  <c r="X174" i="3"/>
  <c r="I166" i="5"/>
  <c r="J166" i="5"/>
  <c r="K166" i="5"/>
  <c r="M166" i="5"/>
  <c r="N166" i="5"/>
  <c r="O166" i="5"/>
  <c r="H166" i="5"/>
  <c r="W203" i="3"/>
  <c r="P162" i="3"/>
  <c r="P184" i="3" s="1"/>
  <c r="Q162" i="3"/>
  <c r="Q184" i="3" s="1"/>
  <c r="W162" i="3"/>
  <c r="X162" i="3"/>
  <c r="I146" i="5"/>
  <c r="J146" i="5"/>
  <c r="K146" i="5"/>
  <c r="M146" i="5"/>
  <c r="N146" i="5"/>
  <c r="O146" i="5"/>
  <c r="H146" i="5"/>
  <c r="E142" i="3"/>
  <c r="F142" i="3"/>
  <c r="F184" i="3" s="1"/>
  <c r="L142" i="3"/>
  <c r="M142" i="3"/>
  <c r="X142" i="3"/>
  <c r="I593" i="5"/>
  <c r="J593" i="5"/>
  <c r="K593" i="5"/>
  <c r="M593" i="5"/>
  <c r="N593" i="5"/>
  <c r="O593" i="5"/>
  <c r="H593" i="5"/>
  <c r="C588" i="3"/>
  <c r="W589" i="3"/>
  <c r="H611" i="5"/>
  <c r="H607" i="5"/>
  <c r="H599" i="5"/>
  <c r="H548" i="5"/>
  <c r="H504" i="5"/>
  <c r="H488" i="5"/>
  <c r="H476" i="5"/>
  <c r="H434" i="5"/>
  <c r="H406" i="5"/>
  <c r="H394" i="5"/>
  <c r="H383" i="5"/>
  <c r="H324" i="5"/>
  <c r="H320" i="5"/>
  <c r="H317" i="5"/>
  <c r="H313" i="5"/>
  <c r="H309" i="5"/>
  <c r="H296" i="5"/>
  <c r="H292" i="5"/>
  <c r="H286" i="5"/>
  <c r="H281" i="5"/>
  <c r="H274" i="5"/>
  <c r="H266" i="5"/>
  <c r="H227" i="5"/>
  <c r="H220" i="5"/>
  <c r="H214" i="5"/>
  <c r="H211" i="5"/>
  <c r="H195" i="5"/>
  <c r="H187" i="5"/>
  <c r="H158" i="5"/>
  <c r="H150" i="5"/>
  <c r="H137" i="5"/>
  <c r="H133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3" i="5" s="1"/>
  <c r="A34" i="5" s="1"/>
  <c r="A37" i="5" s="1"/>
  <c r="A38" i="5" s="1"/>
  <c r="A39" i="5" s="1"/>
  <c r="A42" i="5" s="1"/>
  <c r="A43" i="5" s="1"/>
  <c r="A44" i="5" s="1"/>
  <c r="A45" i="5" s="1"/>
  <c r="A46" i="5" s="1"/>
  <c r="A47" i="5" s="1"/>
  <c r="A48" i="5" s="1"/>
  <c r="A49" i="5" s="1"/>
  <c r="A52" i="5" s="1"/>
  <c r="A57" i="5" s="1"/>
  <c r="A60" i="5" s="1"/>
  <c r="A61" i="5" s="1"/>
  <c r="A64" i="5" s="1"/>
  <c r="A67" i="5" s="1"/>
  <c r="A68" i="5" s="1"/>
  <c r="A69" i="5" s="1"/>
  <c r="A72" i="5" s="1"/>
  <c r="A75" i="5" s="1"/>
  <c r="A80" i="5" s="1"/>
  <c r="A81" i="5" s="1"/>
  <c r="A82" i="5" s="1"/>
  <c r="A83" i="5" s="1"/>
  <c r="A86" i="5" s="1"/>
  <c r="A87" i="5" s="1"/>
  <c r="A88" i="5" s="1"/>
  <c r="A91" i="5" s="1"/>
  <c r="A92" i="5" s="1"/>
  <c r="A95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2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9" i="5" s="1"/>
  <c r="A130" i="5" s="1"/>
  <c r="A131" i="5" s="1"/>
  <c r="A132" i="5" s="1"/>
  <c r="A135" i="5" s="1"/>
  <c r="A136" i="5" s="1"/>
  <c r="A141" i="5" s="1"/>
  <c r="A142" i="5" s="1"/>
  <c r="A143" i="5" s="1"/>
  <c r="A144" i="5" s="1"/>
  <c r="A145" i="5" s="1"/>
  <c r="A148" i="5" s="1"/>
  <c r="A149" i="5" s="1"/>
  <c r="L607" i="3"/>
  <c r="M607" i="3"/>
  <c r="J603" i="3"/>
  <c r="J622" i="3" s="1"/>
  <c r="K603" i="3"/>
  <c r="K622" i="3" s="1"/>
  <c r="L603" i="3"/>
  <c r="M603" i="3"/>
  <c r="P603" i="3"/>
  <c r="W603" i="3"/>
  <c r="E595" i="3"/>
  <c r="E622" i="3" s="1"/>
  <c r="W595" i="3"/>
  <c r="L555" i="3"/>
  <c r="M555" i="3"/>
  <c r="P555" i="3"/>
  <c r="Q555" i="3"/>
  <c r="X555" i="3"/>
  <c r="F552" i="3"/>
  <c r="H552" i="3"/>
  <c r="L552" i="3"/>
  <c r="M552" i="3"/>
  <c r="X552" i="3"/>
  <c r="L549" i="3"/>
  <c r="M549" i="3"/>
  <c r="X549" i="3"/>
  <c r="J544" i="3"/>
  <c r="K544" i="3"/>
  <c r="L544" i="3"/>
  <c r="M544" i="3"/>
  <c r="P544" i="3"/>
  <c r="Q544" i="3"/>
  <c r="W544" i="3"/>
  <c r="X544" i="3"/>
  <c r="C543" i="3"/>
  <c r="L547" i="5" s="1"/>
  <c r="W500" i="3"/>
  <c r="W494" i="3"/>
  <c r="L484" i="3"/>
  <c r="M484" i="3"/>
  <c r="N484" i="3"/>
  <c r="N490" i="3" s="1"/>
  <c r="O484" i="3"/>
  <c r="O490" i="3" s="1"/>
  <c r="P484" i="3"/>
  <c r="Q484" i="3"/>
  <c r="W484" i="3"/>
  <c r="X484" i="3"/>
  <c r="L475" i="3"/>
  <c r="M475" i="3"/>
  <c r="P475" i="3"/>
  <c r="Q475" i="3"/>
  <c r="X475" i="3"/>
  <c r="E472" i="3"/>
  <c r="L472" i="3"/>
  <c r="M472" i="3"/>
  <c r="W472" i="3"/>
  <c r="X472" i="3"/>
  <c r="W462" i="3"/>
  <c r="W459" i="3"/>
  <c r="L447" i="3"/>
  <c r="M447" i="3"/>
  <c r="P447" i="3"/>
  <c r="Q447" i="3"/>
  <c r="W447" i="3"/>
  <c r="X447" i="3"/>
  <c r="P443" i="3"/>
  <c r="Q443" i="3"/>
  <c r="W443" i="3"/>
  <c r="X443" i="3"/>
  <c r="W440" i="3"/>
  <c r="L430" i="3"/>
  <c r="M430" i="3"/>
  <c r="W430" i="3"/>
  <c r="X430" i="3"/>
  <c r="E421" i="3"/>
  <c r="E436" i="3" s="1"/>
  <c r="L421" i="3"/>
  <c r="M421" i="3"/>
  <c r="W421" i="3"/>
  <c r="X421" i="3"/>
  <c r="L415" i="3"/>
  <c r="M415" i="3"/>
  <c r="P415" i="3"/>
  <c r="W415" i="3"/>
  <c r="X415" i="3"/>
  <c r="P402" i="3"/>
  <c r="W402" i="3"/>
  <c r="X402" i="3"/>
  <c r="L390" i="3"/>
  <c r="M390" i="3"/>
  <c r="W390" i="3"/>
  <c r="X390" i="3"/>
  <c r="E379" i="3"/>
  <c r="W375" i="3"/>
  <c r="L369" i="3"/>
  <c r="M369" i="3"/>
  <c r="W369" i="3"/>
  <c r="X369" i="3"/>
  <c r="L365" i="3"/>
  <c r="M365" i="3"/>
  <c r="P365" i="3"/>
  <c r="Q365" i="3"/>
  <c r="W365" i="3"/>
  <c r="X365" i="3"/>
  <c r="L360" i="3"/>
  <c r="M360" i="3"/>
  <c r="P360" i="3"/>
  <c r="Q360" i="3"/>
  <c r="W360" i="3"/>
  <c r="X360" i="3"/>
  <c r="L357" i="3"/>
  <c r="M357" i="3"/>
  <c r="W357" i="3"/>
  <c r="X357" i="3"/>
  <c r="J380" i="3"/>
  <c r="L354" i="3"/>
  <c r="M354" i="3"/>
  <c r="P354" i="3"/>
  <c r="W354" i="3"/>
  <c r="X354" i="3"/>
  <c r="W326" i="3"/>
  <c r="E323" i="3"/>
  <c r="L323" i="3"/>
  <c r="M323" i="3"/>
  <c r="W323" i="3"/>
  <c r="X323" i="3"/>
  <c r="L320" i="3"/>
  <c r="M320" i="3"/>
  <c r="W320" i="3"/>
  <c r="X320" i="3"/>
  <c r="E316" i="3"/>
  <c r="F316" i="3"/>
  <c r="F331" i="3" s="1"/>
  <c r="G316" i="3"/>
  <c r="G331" i="3" s="1"/>
  <c r="I316" i="3"/>
  <c r="L316" i="3"/>
  <c r="M316" i="3"/>
  <c r="P316" i="3"/>
  <c r="Q316" i="3"/>
  <c r="X316" i="3"/>
  <c r="L309" i="3"/>
  <c r="M309" i="3"/>
  <c r="P309" i="3"/>
  <c r="Q309" i="3"/>
  <c r="X309" i="3"/>
  <c r="L305" i="3"/>
  <c r="M305" i="3"/>
  <c r="W305" i="3"/>
  <c r="X305" i="3"/>
  <c r="W292" i="3"/>
  <c r="W293" i="3" s="1"/>
  <c r="J288" i="3"/>
  <c r="J293" i="3" s="1"/>
  <c r="K288" i="3"/>
  <c r="K293" i="3" s="1"/>
  <c r="X288" i="3"/>
  <c r="X293" i="3" s="1"/>
  <c r="L282" i="3"/>
  <c r="M282" i="3"/>
  <c r="J277" i="3"/>
  <c r="K277" i="3"/>
  <c r="W277" i="3"/>
  <c r="X277" i="3"/>
  <c r="J270" i="3"/>
  <c r="J283" i="3" s="1"/>
  <c r="K270" i="3"/>
  <c r="L270" i="3"/>
  <c r="P270" i="3"/>
  <c r="P283" i="3" s="1"/>
  <c r="Q270" i="3"/>
  <c r="Q283" i="3" s="1"/>
  <c r="X270" i="3"/>
  <c r="L262" i="3"/>
  <c r="M262" i="3"/>
  <c r="W262" i="3"/>
  <c r="X262" i="3"/>
  <c r="W259" i="3"/>
  <c r="E256" i="3"/>
  <c r="E263" i="3" s="1"/>
  <c r="L256" i="3"/>
  <c r="L263" i="3" s="1"/>
  <c r="M256" i="3"/>
  <c r="P256" i="3"/>
  <c r="P263" i="3" s="1"/>
  <c r="Q256" i="3"/>
  <c r="Q263" i="3" s="1"/>
  <c r="T256" i="3"/>
  <c r="T263" i="3" s="1"/>
  <c r="U256" i="3"/>
  <c r="U263" i="3" s="1"/>
  <c r="X256" i="3"/>
  <c r="L216" i="3"/>
  <c r="M216" i="3"/>
  <c r="W216" i="3"/>
  <c r="X216" i="3"/>
  <c r="N210" i="3"/>
  <c r="N224" i="3" s="1"/>
  <c r="O210" i="3"/>
  <c r="O224" i="3" s="1"/>
  <c r="P207" i="3"/>
  <c r="Q207" i="3"/>
  <c r="W207" i="3"/>
  <c r="X207" i="3"/>
  <c r="L203" i="3"/>
  <c r="M203" i="3"/>
  <c r="P203" i="3"/>
  <c r="Q203" i="3"/>
  <c r="X203" i="3"/>
  <c r="J191" i="3"/>
  <c r="K191" i="3"/>
  <c r="K224" i="3" s="1"/>
  <c r="E183" i="3"/>
  <c r="L183" i="3"/>
  <c r="M183" i="3"/>
  <c r="W183" i="3"/>
  <c r="J165" i="3"/>
  <c r="J184" i="3" s="1"/>
  <c r="K165" i="3"/>
  <c r="K184" i="3" s="1"/>
  <c r="L154" i="3"/>
  <c r="M154" i="3"/>
  <c r="T154" i="3"/>
  <c r="T184" i="3" s="1"/>
  <c r="U154" i="3"/>
  <c r="U184" i="3" s="1"/>
  <c r="X154" i="3"/>
  <c r="L146" i="3"/>
  <c r="M146" i="3"/>
  <c r="W146" i="3"/>
  <c r="X146" i="3"/>
  <c r="D139" i="3"/>
  <c r="C139" i="3" s="1"/>
  <c r="L143" i="5" s="1"/>
  <c r="V142" i="5" s="1"/>
  <c r="D138" i="3"/>
  <c r="C138" i="3" s="1"/>
  <c r="L142" i="5" s="1"/>
  <c r="V141" i="5" s="1"/>
  <c r="L133" i="3"/>
  <c r="M133" i="3"/>
  <c r="P133" i="3"/>
  <c r="Q133" i="3"/>
  <c r="W133" i="3"/>
  <c r="X133" i="3"/>
  <c r="L129" i="3"/>
  <c r="M129" i="3"/>
  <c r="X129" i="3"/>
  <c r="L109" i="3"/>
  <c r="M109" i="3"/>
  <c r="X109" i="3"/>
  <c r="W106" i="3"/>
  <c r="L92" i="3"/>
  <c r="M92" i="3"/>
  <c r="W92" i="3"/>
  <c r="X92" i="3"/>
  <c r="L89" i="3"/>
  <c r="M89" i="3"/>
  <c r="P89" i="3"/>
  <c r="Q89" i="3"/>
  <c r="W89" i="3"/>
  <c r="X89" i="3"/>
  <c r="J85" i="3"/>
  <c r="J134" i="3" s="1"/>
  <c r="K85" i="3"/>
  <c r="K134" i="3" s="1"/>
  <c r="L85" i="3"/>
  <c r="M85" i="3"/>
  <c r="X85" i="3"/>
  <c r="P80" i="3"/>
  <c r="Q80" i="3"/>
  <c r="W80" i="3"/>
  <c r="X80" i="3"/>
  <c r="W72" i="3"/>
  <c r="W73" i="3" s="1"/>
  <c r="L69" i="3"/>
  <c r="M69" i="3"/>
  <c r="X69" i="3"/>
  <c r="L66" i="3"/>
  <c r="M66" i="3"/>
  <c r="X66" i="3"/>
  <c r="L61" i="3"/>
  <c r="M61" i="3"/>
  <c r="X61" i="3"/>
  <c r="L58" i="3"/>
  <c r="M58" i="3"/>
  <c r="P58" i="3"/>
  <c r="P73" i="3" s="1"/>
  <c r="Q58" i="3"/>
  <c r="Q73" i="3" s="1"/>
  <c r="X58" i="3"/>
  <c r="L54" i="3"/>
  <c r="M54" i="3"/>
  <c r="X54" i="3"/>
  <c r="F49" i="3"/>
  <c r="G49" i="3"/>
  <c r="H49" i="3"/>
  <c r="X49" i="3"/>
  <c r="L46" i="3"/>
  <c r="M46" i="3"/>
  <c r="P46" i="3"/>
  <c r="Q46" i="3"/>
  <c r="X46" i="3"/>
  <c r="W36" i="3"/>
  <c r="F31" i="3"/>
  <c r="G31" i="3"/>
  <c r="H31" i="3"/>
  <c r="L31" i="3"/>
  <c r="M31" i="3"/>
  <c r="P31" i="3"/>
  <c r="Q31" i="3"/>
  <c r="X31" i="3"/>
  <c r="C243" i="3"/>
  <c r="L247" i="5" s="1"/>
  <c r="V246" i="5" s="1"/>
  <c r="C242" i="3"/>
  <c r="L246" i="5" s="1"/>
  <c r="V245" i="5" s="1"/>
  <c r="C612" i="3"/>
  <c r="L616" i="5" s="1"/>
  <c r="D591" i="3"/>
  <c r="C591" i="3" s="1"/>
  <c r="L595" i="5" s="1"/>
  <c r="V594" i="5" s="1"/>
  <c r="C580" i="3"/>
  <c r="L584" i="5" s="1"/>
  <c r="V583" i="5" s="1"/>
  <c r="C579" i="3"/>
  <c r="L583" i="5" s="1"/>
  <c r="V582" i="5" s="1"/>
  <c r="I352" i="5"/>
  <c r="I353" i="5" s="1"/>
  <c r="J352" i="5"/>
  <c r="J353" i="5" s="1"/>
  <c r="K352" i="5"/>
  <c r="K353" i="5" s="1"/>
  <c r="M352" i="5"/>
  <c r="M353" i="5" s="1"/>
  <c r="N352" i="5"/>
  <c r="N353" i="5" s="1"/>
  <c r="O352" i="5"/>
  <c r="O353" i="5" s="1"/>
  <c r="C335" i="3"/>
  <c r="L339" i="5" s="1"/>
  <c r="D450" i="3"/>
  <c r="C450" i="3" s="1"/>
  <c r="I207" i="5"/>
  <c r="J207" i="5"/>
  <c r="K207" i="5"/>
  <c r="M207" i="5"/>
  <c r="N207" i="5"/>
  <c r="O207" i="5"/>
  <c r="I195" i="5"/>
  <c r="C201" i="3"/>
  <c r="L205" i="5" s="1"/>
  <c r="C118" i="3"/>
  <c r="L122" i="5" s="1"/>
  <c r="V121" i="5" s="1"/>
  <c r="I444" i="5"/>
  <c r="J444" i="5"/>
  <c r="K444" i="5"/>
  <c r="M444" i="5"/>
  <c r="N444" i="5"/>
  <c r="O444" i="5"/>
  <c r="H444" i="5"/>
  <c r="C439" i="3"/>
  <c r="C594" i="3"/>
  <c r="L598" i="5" s="1"/>
  <c r="I588" i="5"/>
  <c r="J588" i="5"/>
  <c r="K588" i="5"/>
  <c r="M588" i="5"/>
  <c r="N588" i="5"/>
  <c r="O588" i="5"/>
  <c r="D578" i="3"/>
  <c r="C578" i="3" s="1"/>
  <c r="L582" i="5" s="1"/>
  <c r="D577" i="3"/>
  <c r="C577" i="3" s="1"/>
  <c r="L581" i="5" s="1"/>
  <c r="D575" i="3"/>
  <c r="C575" i="3" s="1"/>
  <c r="L579" i="5" s="1"/>
  <c r="C567" i="3"/>
  <c r="D487" i="3"/>
  <c r="C487" i="3" s="1"/>
  <c r="L491" i="5" s="1"/>
  <c r="I476" i="5"/>
  <c r="J476" i="5"/>
  <c r="K476" i="5"/>
  <c r="M476" i="5"/>
  <c r="N476" i="5"/>
  <c r="O476" i="5"/>
  <c r="D464" i="3"/>
  <c r="D472" i="3" s="1"/>
  <c r="C449" i="3"/>
  <c r="L453" i="5" s="1"/>
  <c r="V452" i="5" s="1"/>
  <c r="C453" i="3"/>
  <c r="L457" i="5" s="1"/>
  <c r="V456" i="5" s="1"/>
  <c r="C434" i="3"/>
  <c r="L438" i="5" s="1"/>
  <c r="I425" i="5"/>
  <c r="J425" i="5"/>
  <c r="K425" i="5"/>
  <c r="M425" i="5"/>
  <c r="N425" i="5"/>
  <c r="O425" i="5"/>
  <c r="D420" i="3"/>
  <c r="C420" i="3" s="1"/>
  <c r="L424" i="5" s="1"/>
  <c r="V423" i="5" s="1"/>
  <c r="C408" i="3"/>
  <c r="L412" i="5" s="1"/>
  <c r="D378" i="3"/>
  <c r="D377" i="3"/>
  <c r="C377" i="3" s="1"/>
  <c r="L381" i="5" s="1"/>
  <c r="V380" i="5" s="1"/>
  <c r="I383" i="5"/>
  <c r="J383" i="5"/>
  <c r="K383" i="5"/>
  <c r="M383" i="5"/>
  <c r="N383" i="5"/>
  <c r="O383" i="5"/>
  <c r="I317" i="5"/>
  <c r="J317" i="5"/>
  <c r="K317" i="5"/>
  <c r="M317" i="5"/>
  <c r="N317" i="5"/>
  <c r="O317" i="5"/>
  <c r="I260" i="5"/>
  <c r="J260" i="5"/>
  <c r="K260" i="5"/>
  <c r="M260" i="5"/>
  <c r="N260" i="5"/>
  <c r="O260" i="5"/>
  <c r="C248" i="3"/>
  <c r="L252" i="5" s="1"/>
  <c r="V251" i="5" s="1"/>
  <c r="C228" i="3"/>
  <c r="L232" i="5" s="1"/>
  <c r="V231" i="5" s="1"/>
  <c r="C227" i="3"/>
  <c r="L231" i="5" s="1"/>
  <c r="W256" i="3"/>
  <c r="D229" i="3"/>
  <c r="I227" i="5"/>
  <c r="J227" i="5"/>
  <c r="K227" i="5"/>
  <c r="M227" i="5"/>
  <c r="N227" i="5"/>
  <c r="O227" i="5"/>
  <c r="W191" i="3"/>
  <c r="I214" i="5"/>
  <c r="J214" i="5"/>
  <c r="K214" i="5"/>
  <c r="M214" i="5"/>
  <c r="N214" i="5"/>
  <c r="O214" i="5"/>
  <c r="C209" i="3"/>
  <c r="C210" i="3" s="1"/>
  <c r="J195" i="5"/>
  <c r="K195" i="5"/>
  <c r="M195" i="5"/>
  <c r="N195" i="5"/>
  <c r="O195" i="5"/>
  <c r="D171" i="3"/>
  <c r="C161" i="3"/>
  <c r="L165" i="5" s="1"/>
  <c r="C158" i="3"/>
  <c r="L162" i="5" s="1"/>
  <c r="V161" i="5" s="1"/>
  <c r="D141" i="3"/>
  <c r="C141" i="3" s="1"/>
  <c r="I124" i="5"/>
  <c r="I127" i="5" s="1"/>
  <c r="D122" i="3"/>
  <c r="C122" i="3" s="1"/>
  <c r="L126" i="5" s="1"/>
  <c r="D121" i="3"/>
  <c r="C121" i="3" s="1"/>
  <c r="L125" i="5" s="1"/>
  <c r="D120" i="3"/>
  <c r="C120" i="3" s="1"/>
  <c r="L124" i="5" s="1"/>
  <c r="D116" i="3"/>
  <c r="C116" i="3" s="1"/>
  <c r="L120" i="5" s="1"/>
  <c r="V119" i="5" s="1"/>
  <c r="C113" i="3"/>
  <c r="L117" i="5" s="1"/>
  <c r="C115" i="3"/>
  <c r="L119" i="5" s="1"/>
  <c r="V118" i="5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9" i="3" s="1"/>
  <c r="A30" i="3" s="1"/>
  <c r="A33" i="3" s="1"/>
  <c r="A34" i="3" s="1"/>
  <c r="A35" i="3" s="1"/>
  <c r="A38" i="3" s="1"/>
  <c r="A39" i="3" s="1"/>
  <c r="A40" i="3" s="1"/>
  <c r="A41" i="3" s="1"/>
  <c r="A42" i="3" s="1"/>
  <c r="A43" i="3" s="1"/>
  <c r="A44" i="3" s="1"/>
  <c r="A45" i="3" s="1"/>
  <c r="A48" i="3" s="1"/>
  <c r="A53" i="3" s="1"/>
  <c r="A56" i="3" s="1"/>
  <c r="A57" i="3" s="1"/>
  <c r="A60" i="3" s="1"/>
  <c r="A63" i="3" s="1"/>
  <c r="A64" i="3" s="1"/>
  <c r="A65" i="3" s="1"/>
  <c r="A68" i="3" s="1"/>
  <c r="A71" i="3" s="1"/>
  <c r="A76" i="3" s="1"/>
  <c r="A77" i="3" s="1"/>
  <c r="A78" i="3" s="1"/>
  <c r="A79" i="3" s="1"/>
  <c r="A82" i="3" s="1"/>
  <c r="A83" i="3" s="1"/>
  <c r="A84" i="3" s="1"/>
  <c r="A87" i="3" s="1"/>
  <c r="A88" i="3" s="1"/>
  <c r="A91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8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5" i="3" s="1"/>
  <c r="A126" i="3" s="1"/>
  <c r="A127" i="3" s="1"/>
  <c r="A128" i="3" s="1"/>
  <c r="A131" i="3" s="1"/>
  <c r="A132" i="3" s="1"/>
  <c r="A137" i="3" s="1"/>
  <c r="A138" i="3" s="1"/>
  <c r="A139" i="3" s="1"/>
  <c r="A140" i="3" s="1"/>
  <c r="A141" i="3" s="1"/>
  <c r="A144" i="3" s="1"/>
  <c r="A145" i="3" s="1"/>
  <c r="C24" i="3"/>
  <c r="L28" i="5" s="1"/>
  <c r="C15" i="3"/>
  <c r="L19" i="5" s="1"/>
  <c r="V18" i="5" s="1"/>
  <c r="C12" i="3"/>
  <c r="L16" i="5" s="1"/>
  <c r="V15" i="5" s="1"/>
  <c r="C11" i="3"/>
  <c r="C515" i="3"/>
  <c r="L519" i="5" s="1"/>
  <c r="V518" i="5" s="1"/>
  <c r="C516" i="3"/>
  <c r="L520" i="5" s="1"/>
  <c r="V519" i="5" s="1"/>
  <c r="C517" i="3"/>
  <c r="L521" i="5" s="1"/>
  <c r="V520" i="5" s="1"/>
  <c r="C518" i="3"/>
  <c r="L522" i="5" s="1"/>
  <c r="V521" i="5" s="1"/>
  <c r="C519" i="3"/>
  <c r="L523" i="5" s="1"/>
  <c r="V522" i="5" s="1"/>
  <c r="C525" i="3"/>
  <c r="L529" i="5" s="1"/>
  <c r="C520" i="3"/>
  <c r="L524" i="5" s="1"/>
  <c r="C521" i="3"/>
  <c r="L525" i="5" s="1"/>
  <c r="V524" i="5" s="1"/>
  <c r="C522" i="3"/>
  <c r="L526" i="5" s="1"/>
  <c r="C523" i="3"/>
  <c r="L527" i="5" s="1"/>
  <c r="C524" i="3"/>
  <c r="L528" i="5" s="1"/>
  <c r="C511" i="3"/>
  <c r="L515" i="5" s="1"/>
  <c r="V514" i="5" s="1"/>
  <c r="C512" i="3"/>
  <c r="L516" i="5" s="1"/>
  <c r="C513" i="3"/>
  <c r="L517" i="5" s="1"/>
  <c r="V516" i="5" s="1"/>
  <c r="C514" i="3"/>
  <c r="L518" i="5" s="1"/>
  <c r="C14" i="3"/>
  <c r="L18" i="5" s="1"/>
  <c r="V17" i="5" s="1"/>
  <c r="C16" i="3"/>
  <c r="L20" i="5" s="1"/>
  <c r="V19" i="5" s="1"/>
  <c r="C17" i="3"/>
  <c r="L21" i="5" s="1"/>
  <c r="C18" i="3"/>
  <c r="L22" i="5" s="1"/>
  <c r="C19" i="3"/>
  <c r="L23" i="5" s="1"/>
  <c r="V22" i="5" s="1"/>
  <c r="C20" i="3"/>
  <c r="L24" i="5" s="1"/>
  <c r="V23" i="5" s="1"/>
  <c r="C21" i="3"/>
  <c r="L25" i="5" s="1"/>
  <c r="V24" i="5" s="1"/>
  <c r="C22" i="3"/>
  <c r="L26" i="5" s="1"/>
  <c r="C23" i="3"/>
  <c r="L27" i="5" s="1"/>
  <c r="V26" i="5" s="1"/>
  <c r="C25" i="3"/>
  <c r="L29" i="5" s="1"/>
  <c r="C26" i="3"/>
  <c r="L30" i="5" s="1"/>
  <c r="V29" i="5" s="1"/>
  <c r="C13" i="3"/>
  <c r="L17" i="5" s="1"/>
  <c r="I599" i="5"/>
  <c r="J599" i="5"/>
  <c r="K599" i="5"/>
  <c r="M599" i="5"/>
  <c r="N599" i="5"/>
  <c r="O599" i="5"/>
  <c r="I548" i="5"/>
  <c r="J548" i="5"/>
  <c r="K548" i="5"/>
  <c r="M548" i="5"/>
  <c r="N548" i="5"/>
  <c r="O548" i="5"/>
  <c r="I504" i="5"/>
  <c r="J504" i="5"/>
  <c r="K504" i="5"/>
  <c r="M504" i="5"/>
  <c r="N504" i="5"/>
  <c r="O504" i="5"/>
  <c r="I488" i="5"/>
  <c r="J488" i="5"/>
  <c r="K488" i="5"/>
  <c r="M488" i="5"/>
  <c r="N488" i="5"/>
  <c r="O488" i="5"/>
  <c r="I434" i="5"/>
  <c r="J434" i="5"/>
  <c r="K434" i="5"/>
  <c r="M434" i="5"/>
  <c r="N434" i="5"/>
  <c r="O434" i="5"/>
  <c r="I406" i="5"/>
  <c r="J406" i="5"/>
  <c r="K406" i="5"/>
  <c r="M406" i="5"/>
  <c r="N406" i="5"/>
  <c r="O406" i="5"/>
  <c r="I394" i="5"/>
  <c r="J394" i="5"/>
  <c r="K394" i="5"/>
  <c r="M394" i="5"/>
  <c r="N394" i="5"/>
  <c r="O394" i="5"/>
  <c r="H379" i="5"/>
  <c r="I379" i="5"/>
  <c r="J379" i="5"/>
  <c r="K379" i="5"/>
  <c r="M379" i="5"/>
  <c r="N379" i="5"/>
  <c r="O379" i="5"/>
  <c r="I373" i="5"/>
  <c r="J373" i="5"/>
  <c r="K373" i="5"/>
  <c r="M373" i="5"/>
  <c r="N373" i="5"/>
  <c r="O373" i="5"/>
  <c r="H373" i="5"/>
  <c r="I369" i="5"/>
  <c r="J369" i="5"/>
  <c r="K369" i="5"/>
  <c r="M369" i="5"/>
  <c r="N369" i="5"/>
  <c r="O369" i="5"/>
  <c r="H369" i="5"/>
  <c r="I313" i="5"/>
  <c r="J313" i="5"/>
  <c r="K313" i="5"/>
  <c r="M313" i="5"/>
  <c r="N313" i="5"/>
  <c r="O313" i="5"/>
  <c r="K309" i="5"/>
  <c r="I309" i="5"/>
  <c r="J309" i="5"/>
  <c r="M309" i="5"/>
  <c r="N309" i="5"/>
  <c r="O309" i="5"/>
  <c r="I281" i="5"/>
  <c r="J281" i="5"/>
  <c r="K281" i="5"/>
  <c r="M281" i="5"/>
  <c r="N281" i="5"/>
  <c r="O281" i="5"/>
  <c r="I274" i="5"/>
  <c r="J274" i="5"/>
  <c r="K274" i="5"/>
  <c r="M274" i="5"/>
  <c r="N274" i="5"/>
  <c r="O274" i="5"/>
  <c r="K266" i="5"/>
  <c r="I266" i="5"/>
  <c r="J266" i="5"/>
  <c r="M266" i="5"/>
  <c r="N266" i="5"/>
  <c r="O266" i="5"/>
  <c r="I187" i="5"/>
  <c r="J187" i="5"/>
  <c r="K187" i="5"/>
  <c r="M187" i="5"/>
  <c r="N187" i="5"/>
  <c r="O187" i="5"/>
  <c r="I158" i="5"/>
  <c r="J158" i="5"/>
  <c r="K158" i="5"/>
  <c r="M158" i="5"/>
  <c r="N158" i="5"/>
  <c r="O158" i="5"/>
  <c r="H110" i="5"/>
  <c r="H93" i="5"/>
  <c r="I89" i="5"/>
  <c r="J89" i="5"/>
  <c r="K89" i="5"/>
  <c r="M89" i="5"/>
  <c r="N89" i="5"/>
  <c r="O89" i="5"/>
  <c r="H89" i="5"/>
  <c r="I364" i="5"/>
  <c r="J364" i="5"/>
  <c r="K364" i="5"/>
  <c r="M364" i="5"/>
  <c r="N364" i="5"/>
  <c r="O364" i="5"/>
  <c r="H364" i="5"/>
  <c r="I70" i="5"/>
  <c r="J70" i="5"/>
  <c r="K70" i="5"/>
  <c r="M70" i="5"/>
  <c r="N70" i="5"/>
  <c r="O70" i="5"/>
  <c r="H70" i="5"/>
  <c r="I50" i="5"/>
  <c r="J50" i="5"/>
  <c r="K50" i="5"/>
  <c r="M50" i="5"/>
  <c r="N50" i="5"/>
  <c r="O50" i="5"/>
  <c r="H50" i="5"/>
  <c r="H40" i="5"/>
  <c r="H35" i="5"/>
  <c r="D322" i="3"/>
  <c r="C566" i="3"/>
  <c r="L570" i="5" s="1"/>
  <c r="V569" i="5" s="1"/>
  <c r="I334" i="5"/>
  <c r="J334" i="5"/>
  <c r="K334" i="5"/>
  <c r="M334" i="5"/>
  <c r="N334" i="5"/>
  <c r="O334" i="5"/>
  <c r="H334" i="5"/>
  <c r="I137" i="5"/>
  <c r="J137" i="5"/>
  <c r="K137" i="5"/>
  <c r="M137" i="5"/>
  <c r="N137" i="5"/>
  <c r="O137" i="5"/>
  <c r="O611" i="5"/>
  <c r="N611" i="5"/>
  <c r="M611" i="5"/>
  <c r="K611" i="5"/>
  <c r="J611" i="5"/>
  <c r="I611" i="5"/>
  <c r="O607" i="5"/>
  <c r="N607" i="5"/>
  <c r="M607" i="5"/>
  <c r="K607" i="5"/>
  <c r="J607" i="5"/>
  <c r="I607" i="5"/>
  <c r="O559" i="5"/>
  <c r="N559" i="5"/>
  <c r="M559" i="5"/>
  <c r="K559" i="5"/>
  <c r="J559" i="5"/>
  <c r="I559" i="5"/>
  <c r="H559" i="5"/>
  <c r="O556" i="5"/>
  <c r="N556" i="5"/>
  <c r="M556" i="5"/>
  <c r="K556" i="5"/>
  <c r="J556" i="5"/>
  <c r="I556" i="5"/>
  <c r="H556" i="5"/>
  <c r="O553" i="5"/>
  <c r="N553" i="5"/>
  <c r="M553" i="5"/>
  <c r="K553" i="5"/>
  <c r="J553" i="5"/>
  <c r="I553" i="5"/>
  <c r="H553" i="5"/>
  <c r="O498" i="5"/>
  <c r="N498" i="5"/>
  <c r="M498" i="5"/>
  <c r="K498" i="5"/>
  <c r="J498" i="5"/>
  <c r="I498" i="5"/>
  <c r="H498" i="5"/>
  <c r="O479" i="5"/>
  <c r="N479" i="5"/>
  <c r="M479" i="5"/>
  <c r="K479" i="5"/>
  <c r="J479" i="5"/>
  <c r="I479" i="5"/>
  <c r="H479" i="5"/>
  <c r="O466" i="5"/>
  <c r="N466" i="5"/>
  <c r="M466" i="5"/>
  <c r="K466" i="5"/>
  <c r="J466" i="5"/>
  <c r="I466" i="5"/>
  <c r="H466" i="5"/>
  <c r="O463" i="5"/>
  <c r="N463" i="5"/>
  <c r="M463" i="5"/>
  <c r="K463" i="5"/>
  <c r="J463" i="5"/>
  <c r="I463" i="5"/>
  <c r="H463" i="5"/>
  <c r="O451" i="5"/>
  <c r="N451" i="5"/>
  <c r="M451" i="5"/>
  <c r="K451" i="5"/>
  <c r="J451" i="5"/>
  <c r="I451" i="5"/>
  <c r="H451" i="5"/>
  <c r="O447" i="5"/>
  <c r="N447" i="5"/>
  <c r="M447" i="5"/>
  <c r="K447" i="5"/>
  <c r="J447" i="5"/>
  <c r="I447" i="5"/>
  <c r="H447" i="5"/>
  <c r="O419" i="5"/>
  <c r="N419" i="5"/>
  <c r="M419" i="5"/>
  <c r="K419" i="5"/>
  <c r="J419" i="5"/>
  <c r="I419" i="5"/>
  <c r="H419" i="5"/>
  <c r="O361" i="5"/>
  <c r="N361" i="5"/>
  <c r="M361" i="5"/>
  <c r="K361" i="5"/>
  <c r="J361" i="5"/>
  <c r="I361" i="5"/>
  <c r="H361" i="5"/>
  <c r="O358" i="5"/>
  <c r="N358" i="5"/>
  <c r="M358" i="5"/>
  <c r="K358" i="5"/>
  <c r="J358" i="5"/>
  <c r="I358" i="5"/>
  <c r="H353" i="5"/>
  <c r="O330" i="5"/>
  <c r="N330" i="5"/>
  <c r="M330" i="5"/>
  <c r="K330" i="5"/>
  <c r="J330" i="5"/>
  <c r="I330" i="5"/>
  <c r="H330" i="5"/>
  <c r="O327" i="5"/>
  <c r="N327" i="5"/>
  <c r="M327" i="5"/>
  <c r="K327" i="5"/>
  <c r="J327" i="5"/>
  <c r="I327" i="5"/>
  <c r="H327" i="5"/>
  <c r="O324" i="5"/>
  <c r="N324" i="5"/>
  <c r="M324" i="5"/>
  <c r="K324" i="5"/>
  <c r="J324" i="5"/>
  <c r="I324" i="5"/>
  <c r="O320" i="5"/>
  <c r="N320" i="5"/>
  <c r="M320" i="5"/>
  <c r="K320" i="5"/>
  <c r="J320" i="5"/>
  <c r="I320" i="5"/>
  <c r="O296" i="5"/>
  <c r="N296" i="5"/>
  <c r="M296" i="5"/>
  <c r="K296" i="5"/>
  <c r="J296" i="5"/>
  <c r="I296" i="5"/>
  <c r="O292" i="5"/>
  <c r="N292" i="5"/>
  <c r="M292" i="5"/>
  <c r="K292" i="5"/>
  <c r="K297" i="5" s="1"/>
  <c r="J292" i="5"/>
  <c r="I292" i="5"/>
  <c r="O286" i="5"/>
  <c r="N286" i="5"/>
  <c r="M286" i="5"/>
  <c r="K286" i="5"/>
  <c r="J286" i="5"/>
  <c r="I286" i="5"/>
  <c r="O263" i="5"/>
  <c r="N263" i="5"/>
  <c r="M263" i="5"/>
  <c r="K263" i="5"/>
  <c r="J263" i="5"/>
  <c r="I263" i="5"/>
  <c r="H263" i="5"/>
  <c r="O220" i="5"/>
  <c r="N220" i="5"/>
  <c r="M220" i="5"/>
  <c r="K220" i="5"/>
  <c r="J220" i="5"/>
  <c r="I220" i="5"/>
  <c r="O211" i="5"/>
  <c r="N211" i="5"/>
  <c r="M211" i="5"/>
  <c r="K211" i="5"/>
  <c r="J211" i="5"/>
  <c r="I211" i="5"/>
  <c r="H202" i="5"/>
  <c r="H207" i="5" s="1"/>
  <c r="O169" i="5"/>
  <c r="N169" i="5"/>
  <c r="M169" i="5"/>
  <c r="K169" i="5"/>
  <c r="J169" i="5"/>
  <c r="I169" i="5"/>
  <c r="H169" i="5"/>
  <c r="O150" i="5"/>
  <c r="N150" i="5"/>
  <c r="M150" i="5"/>
  <c r="K150" i="5"/>
  <c r="J150" i="5"/>
  <c r="I150" i="5"/>
  <c r="O133" i="5"/>
  <c r="N133" i="5"/>
  <c r="M133" i="5"/>
  <c r="K133" i="5"/>
  <c r="J133" i="5"/>
  <c r="I133" i="5"/>
  <c r="O113" i="5"/>
  <c r="N113" i="5"/>
  <c r="M113" i="5"/>
  <c r="K113" i="5"/>
  <c r="J113" i="5"/>
  <c r="I113" i="5"/>
  <c r="H113" i="5"/>
  <c r="O110" i="5"/>
  <c r="N110" i="5"/>
  <c r="M110" i="5"/>
  <c r="K110" i="5"/>
  <c r="I110" i="5"/>
  <c r="J109" i="5"/>
  <c r="J108" i="5"/>
  <c r="J107" i="5"/>
  <c r="O96" i="5"/>
  <c r="N96" i="5"/>
  <c r="M96" i="5"/>
  <c r="K96" i="5"/>
  <c r="J96" i="5"/>
  <c r="I96" i="5"/>
  <c r="H96" i="5"/>
  <c r="O93" i="5"/>
  <c r="N93" i="5"/>
  <c r="M93" i="5"/>
  <c r="K93" i="5"/>
  <c r="J93" i="5"/>
  <c r="I93" i="5"/>
  <c r="O84" i="5"/>
  <c r="N84" i="5"/>
  <c r="M84" i="5"/>
  <c r="K84" i="5"/>
  <c r="J84" i="5"/>
  <c r="I84" i="5"/>
  <c r="H84" i="5"/>
  <c r="O76" i="5"/>
  <c r="N76" i="5"/>
  <c r="M76" i="5"/>
  <c r="K76" i="5"/>
  <c r="J76" i="5"/>
  <c r="I76" i="5"/>
  <c r="H76" i="5"/>
  <c r="O73" i="5"/>
  <c r="N73" i="5"/>
  <c r="M73" i="5"/>
  <c r="K73" i="5"/>
  <c r="J73" i="5"/>
  <c r="I73" i="5"/>
  <c r="H73" i="5"/>
  <c r="O65" i="5"/>
  <c r="N65" i="5"/>
  <c r="M65" i="5"/>
  <c r="K65" i="5"/>
  <c r="J65" i="5"/>
  <c r="I65" i="5"/>
  <c r="H65" i="5"/>
  <c r="O62" i="5"/>
  <c r="N62" i="5"/>
  <c r="M62" i="5"/>
  <c r="K62" i="5"/>
  <c r="J62" i="5"/>
  <c r="I62" i="5"/>
  <c r="H62" i="5"/>
  <c r="O58" i="5"/>
  <c r="N58" i="5"/>
  <c r="M58" i="5"/>
  <c r="K58" i="5"/>
  <c r="J58" i="5"/>
  <c r="I58" i="5"/>
  <c r="H58" i="5"/>
  <c r="O53" i="5"/>
  <c r="N53" i="5"/>
  <c r="M53" i="5"/>
  <c r="K53" i="5"/>
  <c r="J53" i="5"/>
  <c r="I53" i="5"/>
  <c r="H53" i="5"/>
  <c r="O40" i="5"/>
  <c r="N40" i="5"/>
  <c r="M40" i="5"/>
  <c r="K40" i="5"/>
  <c r="J40" i="5"/>
  <c r="I40" i="5"/>
  <c r="O35" i="5"/>
  <c r="N35" i="5"/>
  <c r="M35" i="5"/>
  <c r="K35" i="5"/>
  <c r="J35" i="5"/>
  <c r="I35" i="5"/>
  <c r="C343" i="3"/>
  <c r="L347" i="5" s="1"/>
  <c r="V346" i="5" s="1"/>
  <c r="C167" i="3"/>
  <c r="L171" i="5" s="1"/>
  <c r="C249" i="3"/>
  <c r="L253" i="5" s="1"/>
  <c r="V252" i="5" s="1"/>
  <c r="C245" i="3"/>
  <c r="L249" i="5" s="1"/>
  <c r="V248" i="5" s="1"/>
  <c r="C241" i="3"/>
  <c r="L245" i="5" s="1"/>
  <c r="V244" i="5" s="1"/>
  <c r="C232" i="3"/>
  <c r="L236" i="5" s="1"/>
  <c r="V235" i="5" s="1"/>
  <c r="C233" i="3"/>
  <c r="L237" i="5" s="1"/>
  <c r="V236" i="5" s="1"/>
  <c r="C234" i="3"/>
  <c r="L238" i="5" s="1"/>
  <c r="V237" i="5" s="1"/>
  <c r="M270" i="3"/>
  <c r="C57" i="3"/>
  <c r="L61" i="5" s="1"/>
  <c r="V60" i="5" s="1"/>
  <c r="C56" i="3"/>
  <c r="L60" i="5" s="1"/>
  <c r="V59" i="5" s="1"/>
  <c r="Q354" i="3"/>
  <c r="C328" i="3"/>
  <c r="L332" i="5" s="1"/>
  <c r="V331" i="5" s="1"/>
  <c r="C140" i="3"/>
  <c r="L144" i="5" s="1"/>
  <c r="V143" i="5" s="1"/>
  <c r="O573" i="3"/>
  <c r="C367" i="3"/>
  <c r="C368" i="3"/>
  <c r="L372" i="5" s="1"/>
  <c r="V371" i="5" s="1"/>
  <c r="C374" i="3"/>
  <c r="L378" i="5" s="1"/>
  <c r="V377" i="5" s="1"/>
  <c r="C372" i="3"/>
  <c r="L376" i="5" s="1"/>
  <c r="V375" i="5" s="1"/>
  <c r="C371" i="3"/>
  <c r="Q584" i="3"/>
  <c r="Q573" i="3"/>
  <c r="C373" i="3"/>
  <c r="L377" i="5" s="1"/>
  <c r="V376" i="5" s="1"/>
  <c r="U348" i="3"/>
  <c r="U349" i="3" s="1"/>
  <c r="Q603" i="3"/>
  <c r="C471" i="3"/>
  <c r="L475" i="5" s="1"/>
  <c r="V474" i="5" s="1"/>
  <c r="C470" i="3"/>
  <c r="L474" i="5" s="1"/>
  <c r="V473" i="5" s="1"/>
  <c r="C469" i="3"/>
  <c r="L473" i="5" s="1"/>
  <c r="V472" i="5" s="1"/>
  <c r="C468" i="3"/>
  <c r="L472" i="5" s="1"/>
  <c r="V471" i="5" s="1"/>
  <c r="C467" i="3"/>
  <c r="L471" i="5" s="1"/>
  <c r="V470" i="5" s="1"/>
  <c r="Q415" i="3"/>
  <c r="Q402" i="3"/>
  <c r="C251" i="3"/>
  <c r="L255" i="5" s="1"/>
  <c r="C235" i="3"/>
  <c r="L239" i="5" s="1"/>
  <c r="V238" i="5" s="1"/>
  <c r="C364" i="3"/>
  <c r="L368" i="5" s="1"/>
  <c r="V367" i="5" s="1"/>
  <c r="C287" i="3"/>
  <c r="L291" i="5" s="1"/>
  <c r="V290" i="5" s="1"/>
  <c r="C286" i="3"/>
  <c r="L290" i="5" s="1"/>
  <c r="V289" i="5" s="1"/>
  <c r="C274" i="3"/>
  <c r="L278" i="5" s="1"/>
  <c r="V277" i="5" s="1"/>
  <c r="C275" i="3"/>
  <c r="L279" i="5" s="1"/>
  <c r="V278" i="5" s="1"/>
  <c r="C276" i="3"/>
  <c r="L280" i="5" s="1"/>
  <c r="V279" i="5" s="1"/>
  <c r="C273" i="3"/>
  <c r="L277" i="5" s="1"/>
  <c r="V276" i="5" s="1"/>
  <c r="C272" i="3"/>
  <c r="L276" i="5" s="1"/>
  <c r="C269" i="3"/>
  <c r="L273" i="5" s="1"/>
  <c r="V272" i="5" s="1"/>
  <c r="C267" i="3"/>
  <c r="L271" i="5" s="1"/>
  <c r="C266" i="3"/>
  <c r="C261" i="3"/>
  <c r="L265" i="5" s="1"/>
  <c r="V264" i="5" s="1"/>
  <c r="C258" i="3"/>
  <c r="C189" i="3"/>
  <c r="L193" i="5" s="1"/>
  <c r="V192" i="5" s="1"/>
  <c r="C190" i="3"/>
  <c r="L194" i="5" s="1"/>
  <c r="C188" i="3"/>
  <c r="L192" i="5" s="1"/>
  <c r="V191" i="5" s="1"/>
  <c r="C82" i="3"/>
  <c r="L86" i="5" s="1"/>
  <c r="V85" i="5" s="1"/>
  <c r="C71" i="3"/>
  <c r="C65" i="3"/>
  <c r="L69" i="5" s="1"/>
  <c r="V68" i="5" s="1"/>
  <c r="C44" i="3"/>
  <c r="L48" i="5" s="1"/>
  <c r="V47" i="5" s="1"/>
  <c r="C42" i="3"/>
  <c r="L46" i="5" s="1"/>
  <c r="V45" i="5" s="1"/>
  <c r="C38" i="3"/>
  <c r="L42" i="5" s="1"/>
  <c r="L49" i="5"/>
  <c r="C43" i="3"/>
  <c r="L47" i="5" s="1"/>
  <c r="V46" i="5" s="1"/>
  <c r="C41" i="3"/>
  <c r="L45" i="5" s="1"/>
  <c r="V44" i="5" s="1"/>
  <c r="C39" i="3"/>
  <c r="L43" i="5" s="1"/>
  <c r="V42" i="5" s="1"/>
  <c r="C40" i="3"/>
  <c r="L44" i="5" s="1"/>
  <c r="C616" i="3"/>
  <c r="L620" i="5" s="1"/>
  <c r="C615" i="3"/>
  <c r="L619" i="5" s="1"/>
  <c r="V618" i="5" s="1"/>
  <c r="C597" i="3"/>
  <c r="L601" i="5" s="1"/>
  <c r="C592" i="3"/>
  <c r="L596" i="5" s="1"/>
  <c r="V595" i="5" s="1"/>
  <c r="C583" i="3"/>
  <c r="L587" i="5" s="1"/>
  <c r="V586" i="5" s="1"/>
  <c r="C582" i="3"/>
  <c r="L586" i="5" s="1"/>
  <c r="V585" i="5" s="1"/>
  <c r="C581" i="3"/>
  <c r="L585" i="5" s="1"/>
  <c r="V584" i="5" s="1"/>
  <c r="L580" i="5"/>
  <c r="V579" i="5" s="1"/>
  <c r="C564" i="3"/>
  <c r="D563" i="3"/>
  <c r="C563" i="3" s="1"/>
  <c r="L567" i="5" s="1"/>
  <c r="V566" i="5" s="1"/>
  <c r="C560" i="3"/>
  <c r="C534" i="3"/>
  <c r="L538" i="5" s="1"/>
  <c r="V537" i="5" s="1"/>
  <c r="C536" i="3"/>
  <c r="L540" i="5" s="1"/>
  <c r="V539" i="5" s="1"/>
  <c r="C542" i="3"/>
  <c r="L546" i="5" s="1"/>
  <c r="V545" i="5" s="1"/>
  <c r="C539" i="3"/>
  <c r="L543" i="5" s="1"/>
  <c r="V542" i="5" s="1"/>
  <c r="C538" i="3"/>
  <c r="L542" i="5" s="1"/>
  <c r="V541" i="5" s="1"/>
  <c r="C532" i="3"/>
  <c r="L536" i="5" s="1"/>
  <c r="V535" i="5" s="1"/>
  <c r="C533" i="3"/>
  <c r="L537" i="5" s="1"/>
  <c r="V536" i="5" s="1"/>
  <c r="C505" i="3"/>
  <c r="L509" i="5" s="1"/>
  <c r="V508" i="5" s="1"/>
  <c r="C504" i="3"/>
  <c r="L508" i="5" s="1"/>
  <c r="V507" i="5" s="1"/>
  <c r="C498" i="3"/>
  <c r="L502" i="5" s="1"/>
  <c r="V501" i="5" s="1"/>
  <c r="C499" i="3"/>
  <c r="L503" i="5" s="1"/>
  <c r="V502" i="5" s="1"/>
  <c r="C497" i="3"/>
  <c r="L501" i="5" s="1"/>
  <c r="V500" i="5" s="1"/>
  <c r="C479" i="3"/>
  <c r="L483" i="5" s="1"/>
  <c r="V482" i="5" s="1"/>
  <c r="C466" i="3"/>
  <c r="L470" i="5" s="1"/>
  <c r="V469" i="5" s="1"/>
  <c r="C465" i="3"/>
  <c r="L469" i="5" s="1"/>
  <c r="V468" i="5" s="1"/>
  <c r="C461" i="3"/>
  <c r="L465" i="5" s="1"/>
  <c r="V464" i="5" s="1"/>
  <c r="C458" i="3"/>
  <c r="L462" i="5" s="1"/>
  <c r="C451" i="3"/>
  <c r="C433" i="3"/>
  <c r="L437" i="5" s="1"/>
  <c r="C428" i="3"/>
  <c r="L432" i="5" s="1"/>
  <c r="V431" i="5" s="1"/>
  <c r="C427" i="3"/>
  <c r="L431" i="5" s="1"/>
  <c r="V430" i="5" s="1"/>
  <c r="C426" i="3"/>
  <c r="L430" i="5" s="1"/>
  <c r="V429" i="5" s="1"/>
  <c r="C425" i="3"/>
  <c r="L429" i="5" s="1"/>
  <c r="V428" i="5" s="1"/>
  <c r="C423" i="3"/>
  <c r="C353" i="3"/>
  <c r="L357" i="5" s="1"/>
  <c r="V356" i="5" s="1"/>
  <c r="C344" i="3"/>
  <c r="L348" i="5" s="1"/>
  <c r="V347" i="5" s="1"/>
  <c r="P330" i="3"/>
  <c r="L330" i="3"/>
  <c r="C325" i="3"/>
  <c r="L329" i="5" s="1"/>
  <c r="V328" i="5" s="1"/>
  <c r="D315" i="3"/>
  <c r="C304" i="3"/>
  <c r="L308" i="5" s="1"/>
  <c r="V307" i="5" s="1"/>
  <c r="C297" i="3"/>
  <c r="L301" i="5" s="1"/>
  <c r="V300" i="5" s="1"/>
  <c r="C296" i="3"/>
  <c r="L300" i="5" s="1"/>
  <c r="V299" i="5" s="1"/>
  <c r="C303" i="3"/>
  <c r="L307" i="5" s="1"/>
  <c r="V306" i="5" s="1"/>
  <c r="C291" i="3"/>
  <c r="L295" i="5" s="1"/>
  <c r="V294" i="5" s="1"/>
  <c r="C290" i="3"/>
  <c r="L294" i="5" s="1"/>
  <c r="C279" i="3"/>
  <c r="L283" i="5" s="1"/>
  <c r="C246" i="3"/>
  <c r="L250" i="5" s="1"/>
  <c r="V249" i="5" s="1"/>
  <c r="C238" i="3"/>
  <c r="L242" i="5" s="1"/>
  <c r="V241" i="5" s="1"/>
  <c r="C222" i="3"/>
  <c r="L226" i="5" s="1"/>
  <c r="V225" i="5" s="1"/>
  <c r="C221" i="3"/>
  <c r="L225" i="5" s="1"/>
  <c r="V224" i="5" s="1"/>
  <c r="C220" i="3"/>
  <c r="L224" i="5" s="1"/>
  <c r="V223" i="5" s="1"/>
  <c r="C219" i="3"/>
  <c r="L223" i="5" s="1"/>
  <c r="C202" i="3"/>
  <c r="L206" i="5" s="1"/>
  <c r="V205" i="5" s="1"/>
  <c r="C199" i="3"/>
  <c r="L203" i="5" s="1"/>
  <c r="V202" i="5" s="1"/>
  <c r="C196" i="3"/>
  <c r="L200" i="5" s="1"/>
  <c r="V199" i="5" s="1"/>
  <c r="C195" i="3"/>
  <c r="L199" i="5" s="1"/>
  <c r="V198" i="5" s="1"/>
  <c r="C194" i="3"/>
  <c r="L198" i="5" s="1"/>
  <c r="V197" i="5" s="1"/>
  <c r="C177" i="3"/>
  <c r="L181" i="5" s="1"/>
  <c r="D176" i="3"/>
  <c r="D182" i="3"/>
  <c r="C182" i="3" s="1"/>
  <c r="L186" i="5" s="1"/>
  <c r="V185" i="5" s="1"/>
  <c r="D181" i="3"/>
  <c r="C181" i="3" s="1"/>
  <c r="L185" i="5" s="1"/>
  <c r="V184" i="5" s="1"/>
  <c r="D180" i="3"/>
  <c r="C180" i="3" s="1"/>
  <c r="D179" i="3"/>
  <c r="C179" i="3" s="1"/>
  <c r="L183" i="5" s="1"/>
  <c r="V182" i="5" s="1"/>
  <c r="C178" i="3"/>
  <c r="L182" i="5" s="1"/>
  <c r="C173" i="3"/>
  <c r="L177" i="5" s="1"/>
  <c r="C172" i="3"/>
  <c r="L176" i="5" s="1"/>
  <c r="C164" i="3"/>
  <c r="L168" i="5" s="1"/>
  <c r="C160" i="3"/>
  <c r="L164" i="5" s="1"/>
  <c r="C159" i="3"/>
  <c r="L163" i="5" s="1"/>
  <c r="V162" i="5" s="1"/>
  <c r="C153" i="3"/>
  <c r="L157" i="5" s="1"/>
  <c r="V156" i="5" s="1"/>
  <c r="C152" i="3"/>
  <c r="L156" i="5" s="1"/>
  <c r="C151" i="3"/>
  <c r="L155" i="5" s="1"/>
  <c r="C150" i="3"/>
  <c r="L154" i="5" s="1"/>
  <c r="C149" i="3"/>
  <c r="L153" i="5" s="1"/>
  <c r="C132" i="3"/>
  <c r="L136" i="5" s="1"/>
  <c r="V135" i="5" s="1"/>
  <c r="C105" i="3"/>
  <c r="L109" i="5" s="1"/>
  <c r="V108" i="5" s="1"/>
  <c r="C104" i="3"/>
  <c r="L108" i="5" s="1"/>
  <c r="V107" i="5" s="1"/>
  <c r="C103" i="3"/>
  <c r="L107" i="5" s="1"/>
  <c r="V106" i="5" s="1"/>
  <c r="C102" i="3"/>
  <c r="L106" i="5" s="1"/>
  <c r="V105" i="5" s="1"/>
  <c r="C101" i="3"/>
  <c r="L105" i="5" s="1"/>
  <c r="V104" i="5" s="1"/>
  <c r="C100" i="3"/>
  <c r="L104" i="5" s="1"/>
  <c r="V103" i="5" s="1"/>
  <c r="C99" i="3"/>
  <c r="L103" i="5" s="1"/>
  <c r="V102" i="5" s="1"/>
  <c r="C98" i="3"/>
  <c r="L102" i="5" s="1"/>
  <c r="V101" i="5" s="1"/>
  <c r="C97" i="3"/>
  <c r="L101" i="5" s="1"/>
  <c r="V100" i="5" s="1"/>
  <c r="C96" i="3"/>
  <c r="L100" i="5" s="1"/>
  <c r="V99" i="5" s="1"/>
  <c r="C95" i="3"/>
  <c r="L99" i="5" s="1"/>
  <c r="V98" i="5" s="1"/>
  <c r="C83" i="3"/>
  <c r="L87" i="5" s="1"/>
  <c r="C64" i="3"/>
  <c r="L68" i="5" s="1"/>
  <c r="V67" i="5" s="1"/>
  <c r="C53" i="3"/>
  <c r="D48" i="3"/>
  <c r="D49" i="3" s="1"/>
  <c r="C35" i="3"/>
  <c r="L39" i="5" s="1"/>
  <c r="V38" i="5" s="1"/>
  <c r="C34" i="3"/>
  <c r="L38" i="5" s="1"/>
  <c r="V37" i="5" s="1"/>
  <c r="D30" i="3"/>
  <c r="C30" i="3" s="1"/>
  <c r="D29" i="3"/>
  <c r="C29" i="3" s="1"/>
  <c r="L33" i="5" s="1"/>
  <c r="C168" i="3"/>
  <c r="L172" i="5" s="1"/>
  <c r="C156" i="3"/>
  <c r="L160" i="5" s="1"/>
  <c r="C212" i="3"/>
  <c r="L216" i="5" s="1"/>
  <c r="C386" i="3"/>
  <c r="L390" i="5" s="1"/>
  <c r="C387" i="3"/>
  <c r="L391" i="5" s="1"/>
  <c r="C398" i="3"/>
  <c r="L402" i="5" s="1"/>
  <c r="C94" i="3"/>
  <c r="L98" i="5" s="1"/>
  <c r="C400" i="3"/>
  <c r="L404" i="5" s="1"/>
  <c r="C509" i="3"/>
  <c r="L513" i="5" s="1"/>
  <c r="C617" i="3"/>
  <c r="L621" i="5" s="1"/>
  <c r="C618" i="3"/>
  <c r="L622" i="5" s="1"/>
  <c r="C619" i="3"/>
  <c r="L623" i="5" s="1"/>
  <c r="C308" i="3"/>
  <c r="L312" i="5" s="1"/>
  <c r="C307" i="3"/>
  <c r="C452" i="3"/>
  <c r="C572" i="3"/>
  <c r="C599" i="3"/>
  <c r="L603" i="5" s="1"/>
  <c r="C601" i="3"/>
  <c r="L605" i="5" s="1"/>
  <c r="C76" i="3"/>
  <c r="L80" i="5" s="1"/>
  <c r="C78" i="3"/>
  <c r="L82" i="5" s="1"/>
  <c r="C87" i="3"/>
  <c r="C88" i="3"/>
  <c r="L92" i="5" s="1"/>
  <c r="C125" i="3"/>
  <c r="L129" i="5" s="1"/>
  <c r="C126" i="3"/>
  <c r="L130" i="5" s="1"/>
  <c r="C127" i="3"/>
  <c r="L131" i="5" s="1"/>
  <c r="C214" i="3"/>
  <c r="L218" i="5" s="1"/>
  <c r="V217" i="5" s="1"/>
  <c r="C319" i="3"/>
  <c r="L323" i="5" s="1"/>
  <c r="C338" i="3"/>
  <c r="L342" i="5" s="1"/>
  <c r="V341" i="5" s="1"/>
  <c r="C347" i="3"/>
  <c r="L351" i="5" s="1"/>
  <c r="V350" i="5" s="1"/>
  <c r="C429" i="3"/>
  <c r="L433" i="5" s="1"/>
  <c r="C424" i="3"/>
  <c r="L428" i="5" s="1"/>
  <c r="C63" i="3"/>
  <c r="C108" i="3"/>
  <c r="C109" i="3" s="1"/>
  <c r="C148" i="3"/>
  <c r="L152" i="5" s="1"/>
  <c r="C215" i="3"/>
  <c r="L219" i="5" s="1"/>
  <c r="C213" i="3"/>
  <c r="L217" i="5" s="1"/>
  <c r="V216" i="5" s="1"/>
  <c r="C346" i="3"/>
  <c r="L350" i="5" s="1"/>
  <c r="C352" i="3"/>
  <c r="C356" i="3"/>
  <c r="L360" i="5" s="1"/>
  <c r="C363" i="3"/>
  <c r="L367" i="5" s="1"/>
  <c r="C362" i="3"/>
  <c r="L366" i="5" s="1"/>
  <c r="C383" i="3"/>
  <c r="L387" i="5" s="1"/>
  <c r="C488" i="3"/>
  <c r="L492" i="5" s="1"/>
  <c r="V491" i="5" s="1"/>
  <c r="C68" i="3"/>
  <c r="L72" i="5" s="1"/>
  <c r="V71" i="5" s="1"/>
  <c r="C77" i="3"/>
  <c r="L81" i="5" s="1"/>
  <c r="V80" i="5" s="1"/>
  <c r="C79" i="3"/>
  <c r="L83" i="5" s="1"/>
  <c r="V82" i="5" s="1"/>
  <c r="C144" i="3"/>
  <c r="L148" i="5" s="1"/>
  <c r="C198" i="3"/>
  <c r="L202" i="5" s="1"/>
  <c r="V201" i="5" s="1"/>
  <c r="C318" i="3"/>
  <c r="L322" i="5" s="1"/>
  <c r="C406" i="3"/>
  <c r="L410" i="5" s="1"/>
  <c r="C407" i="3"/>
  <c r="L411" i="5" s="1"/>
  <c r="C442" i="3"/>
  <c r="L446" i="5" s="1"/>
  <c r="C486" i="3"/>
  <c r="L490" i="5" s="1"/>
  <c r="C493" i="3"/>
  <c r="L497" i="5" s="1"/>
  <c r="C547" i="3"/>
  <c r="L551" i="5" s="1"/>
  <c r="C548" i="3"/>
  <c r="L552" i="5" s="1"/>
  <c r="V551" i="5" s="1"/>
  <c r="C551" i="3"/>
  <c r="C600" i="3"/>
  <c r="L604" i="5" s="1"/>
  <c r="V603" i="5" s="1"/>
  <c r="C602" i="3"/>
  <c r="L606" i="5" s="1"/>
  <c r="C342" i="3"/>
  <c r="L346" i="5" s="1"/>
  <c r="C389" i="3"/>
  <c r="L393" i="5" s="1"/>
  <c r="V392" i="5" s="1"/>
  <c r="C396" i="3"/>
  <c r="L400" i="5" s="1"/>
  <c r="V399" i="5" s="1"/>
  <c r="C397" i="3"/>
  <c r="L401" i="5" s="1"/>
  <c r="C401" i="3"/>
  <c r="L405" i="5" s="1"/>
  <c r="C477" i="3"/>
  <c r="L481" i="5" s="1"/>
  <c r="C200" i="3"/>
  <c r="L204" i="5" s="1"/>
  <c r="C206" i="3"/>
  <c r="L210" i="5" s="1"/>
  <c r="V209" i="5" s="1"/>
  <c r="L240" i="5"/>
  <c r="V239" i="5" s="1"/>
  <c r="Q330" i="3"/>
  <c r="C253" i="3"/>
  <c r="L257" i="5" s="1"/>
  <c r="C496" i="3"/>
  <c r="L500" i="5" s="1"/>
  <c r="V499" i="5" s="1"/>
  <c r="C480" i="3"/>
  <c r="L484" i="5" s="1"/>
  <c r="V483" i="5" s="1"/>
  <c r="C345" i="3"/>
  <c r="L349" i="5" s="1"/>
  <c r="V348" i="5" s="1"/>
  <c r="C334" i="3"/>
  <c r="L338" i="5" s="1"/>
  <c r="C605" i="3"/>
  <c r="L609" i="5" s="1"/>
  <c r="V608" i="5" s="1"/>
  <c r="C84" i="3"/>
  <c r="L88" i="5" s="1"/>
  <c r="V87" i="5" s="1"/>
  <c r="C445" i="3"/>
  <c r="L449" i="5" s="1"/>
  <c r="C254" i="3"/>
  <c r="L258" i="5" s="1"/>
  <c r="C482" i="3"/>
  <c r="L486" i="5" s="1"/>
  <c r="V485" i="5" s="1"/>
  <c r="C244" i="3"/>
  <c r="L248" i="5" s="1"/>
  <c r="V247" i="5" s="1"/>
  <c r="C60" i="3"/>
  <c r="L64" i="5" s="1"/>
  <c r="V63" i="5" s="1"/>
  <c r="C114" i="3"/>
  <c r="L118" i="5" s="1"/>
  <c r="C128" i="3"/>
  <c r="L132" i="5" s="1"/>
  <c r="C145" i="3"/>
  <c r="C385" i="3"/>
  <c r="L389" i="5" s="1"/>
  <c r="V388" i="5" s="1"/>
  <c r="C413" i="3"/>
  <c r="L417" i="5" s="1"/>
  <c r="C507" i="3"/>
  <c r="L511" i="5" s="1"/>
  <c r="V510" i="5" s="1"/>
  <c r="C620" i="3"/>
  <c r="L624" i="5" s="1"/>
  <c r="V623" i="5" s="1"/>
  <c r="C33" i="3"/>
  <c r="L37" i="5" s="1"/>
  <c r="C554" i="3"/>
  <c r="L558" i="5" s="1"/>
  <c r="C481" i="3"/>
  <c r="L485" i="5" s="1"/>
  <c r="V484" i="5" s="1"/>
  <c r="C359" i="3"/>
  <c r="C360" i="3" s="1"/>
  <c r="C231" i="3"/>
  <c r="L235" i="5" s="1"/>
  <c r="C399" i="3"/>
  <c r="L403" i="5" s="1"/>
  <c r="V402" i="5" s="1"/>
  <c r="C91" i="3"/>
  <c r="C92" i="3" s="1"/>
  <c r="C483" i="3"/>
  <c r="L487" i="5" s="1"/>
  <c r="V486" i="5" s="1"/>
  <c r="C432" i="3"/>
  <c r="L436" i="5" s="1"/>
  <c r="C508" i="3"/>
  <c r="L512" i="5" s="1"/>
  <c r="C510" i="3"/>
  <c r="L514" i="5" s="1"/>
  <c r="C526" i="3"/>
  <c r="L530" i="5" s="1"/>
  <c r="C537" i="3"/>
  <c r="L541" i="5" s="1"/>
  <c r="V540" i="5" s="1"/>
  <c r="C540" i="3"/>
  <c r="L544" i="5" s="1"/>
  <c r="V543" i="5" s="1"/>
  <c r="C531" i="3"/>
  <c r="L535" i="5" s="1"/>
  <c r="C541" i="3"/>
  <c r="L545" i="5" s="1"/>
  <c r="C609" i="3"/>
  <c r="L613" i="5" s="1"/>
  <c r="C112" i="3"/>
  <c r="L116" i="5" s="1"/>
  <c r="V115" i="5" s="1"/>
  <c r="C131" i="3"/>
  <c r="C247" i="3"/>
  <c r="L251" i="5" s="1"/>
  <c r="V250" i="5" s="1"/>
  <c r="C281" i="3"/>
  <c r="L285" i="5" s="1"/>
  <c r="V284" i="5" s="1"/>
  <c r="C340" i="3"/>
  <c r="L344" i="5" s="1"/>
  <c r="V343" i="5" s="1"/>
  <c r="C393" i="3"/>
  <c r="L397" i="5" s="1"/>
  <c r="V396" i="5" s="1"/>
  <c r="C414" i="3"/>
  <c r="L418" i="5" s="1"/>
  <c r="V417" i="5" s="1"/>
  <c r="C329" i="3"/>
  <c r="C301" i="3"/>
  <c r="L305" i="5" s="1"/>
  <c r="C255" i="3"/>
  <c r="L259" i="5" s="1"/>
  <c r="C240" i="3"/>
  <c r="V242" i="5" s="1"/>
  <c r="C395" i="3"/>
  <c r="L399" i="5" s="1"/>
  <c r="C474" i="3"/>
  <c r="L478" i="5" s="1"/>
  <c r="C535" i="3"/>
  <c r="L539" i="5" s="1"/>
  <c r="V538" i="5" s="1"/>
  <c r="C565" i="3"/>
  <c r="L569" i="5" s="1"/>
  <c r="V568" i="5" s="1"/>
  <c r="C569" i="3"/>
  <c r="L573" i="5" s="1"/>
  <c r="V572" i="5" s="1"/>
  <c r="C611" i="3"/>
  <c r="L615" i="5" s="1"/>
  <c r="C614" i="3"/>
  <c r="L618" i="5" s="1"/>
  <c r="V617" i="5" s="1"/>
  <c r="C193" i="3"/>
  <c r="C298" i="3"/>
  <c r="L302" i="5" s="1"/>
  <c r="C302" i="3"/>
  <c r="L306" i="5" s="1"/>
  <c r="V305" i="5" s="1"/>
  <c r="M330" i="3"/>
  <c r="C341" i="3"/>
  <c r="L345" i="5" s="1"/>
  <c r="V344" i="5" s="1"/>
  <c r="C339" i="3"/>
  <c r="L343" i="5" s="1"/>
  <c r="V342" i="5" s="1"/>
  <c r="C392" i="3"/>
  <c r="L396" i="5" s="1"/>
  <c r="V395" i="5" s="1"/>
  <c r="C394" i="3"/>
  <c r="L398" i="5" s="1"/>
  <c r="V397" i="5" s="1"/>
  <c r="C404" i="3"/>
  <c r="L408" i="5" s="1"/>
  <c r="C411" i="3"/>
  <c r="L415" i="5" s="1"/>
  <c r="C418" i="3"/>
  <c r="L422" i="5" s="1"/>
  <c r="V421" i="5" s="1"/>
  <c r="C417" i="3"/>
  <c r="L421" i="5" s="1"/>
  <c r="C478" i="3"/>
  <c r="L482" i="5" s="1"/>
  <c r="C561" i="3"/>
  <c r="C562" i="3"/>
  <c r="C568" i="3"/>
  <c r="C610" i="3"/>
  <c r="L614" i="5" s="1"/>
  <c r="C557" i="3"/>
  <c r="L561" i="5" s="1"/>
  <c r="V560" i="5" s="1"/>
  <c r="C571" i="3"/>
  <c r="C117" i="3"/>
  <c r="L121" i="5" s="1"/>
  <c r="C252" i="3"/>
  <c r="L256" i="5" s="1"/>
  <c r="C300" i="3"/>
  <c r="L304" i="5" s="1"/>
  <c r="C312" i="3"/>
  <c r="C388" i="3"/>
  <c r="L392" i="5" s="1"/>
  <c r="C503" i="3"/>
  <c r="L507" i="5" s="1"/>
  <c r="V506" i="5" s="1"/>
  <c r="C384" i="3"/>
  <c r="L388" i="5" s="1"/>
  <c r="C111" i="3"/>
  <c r="L115" i="5" s="1"/>
  <c r="C169" i="3"/>
  <c r="L173" i="5" s="1"/>
  <c r="V172" i="5" s="1"/>
  <c r="C606" i="3"/>
  <c r="L610" i="5" s="1"/>
  <c r="V609" i="5" s="1"/>
  <c r="C336" i="3"/>
  <c r="L340" i="5" s="1"/>
  <c r="V339" i="5" s="1"/>
  <c r="C299" i="3"/>
  <c r="L303" i="5" s="1"/>
  <c r="C337" i="3"/>
  <c r="L341" i="5" s="1"/>
  <c r="V340" i="5" s="1"/>
  <c r="C419" i="3"/>
  <c r="L423" i="5" s="1"/>
  <c r="V422" i="5" s="1"/>
  <c r="C502" i="3"/>
  <c r="L506" i="5" s="1"/>
  <c r="C506" i="3"/>
  <c r="L510" i="5" s="1"/>
  <c r="V509" i="5" s="1"/>
  <c r="C598" i="3"/>
  <c r="L602" i="5" s="1"/>
  <c r="C446" i="3"/>
  <c r="L450" i="5" s="1"/>
  <c r="V449" i="5" s="1"/>
  <c r="C170" i="3"/>
  <c r="L174" i="5" s="1"/>
  <c r="C137" i="3"/>
  <c r="C197" i="3"/>
  <c r="L201" i="5" s="1"/>
  <c r="C237" i="3"/>
  <c r="L241" i="5" s="1"/>
  <c r="C280" i="3"/>
  <c r="C157" i="3"/>
  <c r="L161" i="5" s="1"/>
  <c r="V160" i="5" s="1"/>
  <c r="C205" i="3"/>
  <c r="C412" i="3"/>
  <c r="L416" i="5" s="1"/>
  <c r="C527" i="3"/>
  <c r="L531" i="5" s="1"/>
  <c r="V530" i="5" s="1"/>
  <c r="C570" i="3"/>
  <c r="C613" i="3"/>
  <c r="L617" i="5" s="1"/>
  <c r="P563" i="5" l="1"/>
  <c r="Q562" i="5"/>
  <c r="L572" i="5"/>
  <c r="V571" i="5" s="1"/>
  <c r="L456" i="5"/>
  <c r="V455" i="5" s="1"/>
  <c r="L564" i="5"/>
  <c r="V563" i="5" s="1"/>
  <c r="K283" i="3"/>
  <c r="L574" i="5"/>
  <c r="V573" i="5" s="1"/>
  <c r="L575" i="5"/>
  <c r="V574" i="5" s="1"/>
  <c r="P569" i="5"/>
  <c r="L566" i="5"/>
  <c r="V565" i="5" s="1"/>
  <c r="L576" i="5"/>
  <c r="V575" i="5" s="1"/>
  <c r="L565" i="5"/>
  <c r="V564" i="5" s="1"/>
  <c r="L455" i="5"/>
  <c r="V454" i="5" s="1"/>
  <c r="Q567" i="5"/>
  <c r="L568" i="5"/>
  <c r="V567" i="5" s="1"/>
  <c r="L571" i="5"/>
  <c r="V570" i="5" s="1"/>
  <c r="L454" i="5"/>
  <c r="V453" i="5" s="1"/>
  <c r="P562" i="5"/>
  <c r="M188" i="5"/>
  <c r="O188" i="5"/>
  <c r="N188" i="5"/>
  <c r="P416" i="5"/>
  <c r="V415" i="5"/>
  <c r="P256" i="5"/>
  <c r="V255" i="5"/>
  <c r="P482" i="5"/>
  <c r="V481" i="5"/>
  <c r="Q545" i="5"/>
  <c r="V544" i="5"/>
  <c r="Q405" i="5"/>
  <c r="V404" i="5"/>
  <c r="Q446" i="5"/>
  <c r="V445" i="5"/>
  <c r="Q130" i="5"/>
  <c r="V129" i="5"/>
  <c r="Q623" i="5"/>
  <c r="V622" i="5"/>
  <c r="Q390" i="5"/>
  <c r="V389" i="5"/>
  <c r="Q153" i="5"/>
  <c r="V152" i="5"/>
  <c r="Q176" i="5"/>
  <c r="V175" i="5"/>
  <c r="P462" i="5"/>
  <c r="P463" i="5" s="1"/>
  <c r="V461" i="5"/>
  <c r="P44" i="5"/>
  <c r="V43" i="5"/>
  <c r="Q49" i="5"/>
  <c r="V48" i="5"/>
  <c r="Q194" i="5"/>
  <c r="V193" i="5"/>
  <c r="Q124" i="5"/>
  <c r="V123" i="5"/>
  <c r="P438" i="5"/>
  <c r="V437" i="5"/>
  <c r="P201" i="5"/>
  <c r="V200" i="5"/>
  <c r="P121" i="5"/>
  <c r="V120" i="5"/>
  <c r="P259" i="5"/>
  <c r="V258" i="5"/>
  <c r="Q535" i="5"/>
  <c r="V534" i="5"/>
  <c r="P401" i="5"/>
  <c r="V400" i="5"/>
  <c r="Q551" i="5"/>
  <c r="V550" i="5"/>
  <c r="Q219" i="5"/>
  <c r="V218" i="5"/>
  <c r="P323" i="5"/>
  <c r="V322" i="5"/>
  <c r="P622" i="5"/>
  <c r="V621" i="5"/>
  <c r="Q98" i="5"/>
  <c r="Q110" i="5" s="1"/>
  <c r="V97" i="5"/>
  <c r="P154" i="5"/>
  <c r="V153" i="5"/>
  <c r="Q177" i="5"/>
  <c r="V176" i="5"/>
  <c r="P42" i="5"/>
  <c r="V41" i="5"/>
  <c r="P17" i="5"/>
  <c r="V16" i="5"/>
  <c r="P26" i="5"/>
  <c r="V25" i="5"/>
  <c r="P518" i="5"/>
  <c r="V517" i="5"/>
  <c r="P524" i="5"/>
  <c r="V523" i="5"/>
  <c r="P115" i="5"/>
  <c r="V114" i="5"/>
  <c r="Q615" i="5"/>
  <c r="V614" i="5"/>
  <c r="Q478" i="5"/>
  <c r="V477" i="5"/>
  <c r="Q305" i="5"/>
  <c r="V304" i="5"/>
  <c r="Q512" i="5"/>
  <c r="V511" i="5"/>
  <c r="L559" i="5"/>
  <c r="V557" i="5"/>
  <c r="P417" i="5"/>
  <c r="V416" i="5"/>
  <c r="Q118" i="5"/>
  <c r="V117" i="5"/>
  <c r="Q258" i="5"/>
  <c r="V257" i="5"/>
  <c r="Q257" i="5"/>
  <c r="V256" i="5"/>
  <c r="P204" i="5"/>
  <c r="V203" i="5"/>
  <c r="Q497" i="5"/>
  <c r="V496" i="5"/>
  <c r="Q410" i="5"/>
  <c r="V409" i="5"/>
  <c r="P387" i="5"/>
  <c r="V386" i="5"/>
  <c r="P152" i="5"/>
  <c r="V151" i="5"/>
  <c r="P433" i="5"/>
  <c r="V432" i="5"/>
  <c r="P92" i="5"/>
  <c r="V91" i="5"/>
  <c r="P605" i="5"/>
  <c r="V604" i="5"/>
  <c r="P621" i="5"/>
  <c r="V620" i="5"/>
  <c r="Q402" i="5"/>
  <c r="V401" i="5"/>
  <c r="P160" i="5"/>
  <c r="V159" i="5"/>
  <c r="Q155" i="5"/>
  <c r="V154" i="5"/>
  <c r="Q164" i="5"/>
  <c r="V163" i="5"/>
  <c r="P182" i="5"/>
  <c r="V181" i="5"/>
  <c r="Q223" i="5"/>
  <c r="V222" i="5"/>
  <c r="Q437" i="5"/>
  <c r="V436" i="5"/>
  <c r="Q21" i="5"/>
  <c r="V20" i="5"/>
  <c r="P527" i="5"/>
  <c r="V526" i="5"/>
  <c r="Q529" i="5"/>
  <c r="V528" i="5"/>
  <c r="P117" i="5"/>
  <c r="V116" i="5"/>
  <c r="P126" i="5"/>
  <c r="V125" i="5"/>
  <c r="Q165" i="5"/>
  <c r="V164" i="5"/>
  <c r="Q491" i="5"/>
  <c r="V490" i="5"/>
  <c r="P582" i="5"/>
  <c r="V581" i="5"/>
  <c r="P616" i="5"/>
  <c r="V615" i="5"/>
  <c r="Q547" i="5"/>
  <c r="V546" i="5"/>
  <c r="Q241" i="5"/>
  <c r="V240" i="5"/>
  <c r="Q614" i="5"/>
  <c r="V613" i="5"/>
  <c r="P408" i="5"/>
  <c r="V407" i="5"/>
  <c r="Q530" i="5"/>
  <c r="V529" i="5"/>
  <c r="P367" i="5"/>
  <c r="V366" i="5"/>
  <c r="P82" i="5"/>
  <c r="V81" i="5"/>
  <c r="P404" i="5"/>
  <c r="V403" i="5"/>
  <c r="P33" i="5"/>
  <c r="V32" i="5"/>
  <c r="P181" i="5"/>
  <c r="V180" i="5"/>
  <c r="Q283" i="5"/>
  <c r="V282" i="5"/>
  <c r="P255" i="5"/>
  <c r="V254" i="5"/>
  <c r="Q412" i="5"/>
  <c r="V411" i="5"/>
  <c r="Q579" i="5"/>
  <c r="V578" i="5"/>
  <c r="P339" i="5"/>
  <c r="V338" i="5"/>
  <c r="P617" i="5"/>
  <c r="V616" i="5"/>
  <c r="Q602" i="5"/>
  <c r="V601" i="5"/>
  <c r="Q392" i="5"/>
  <c r="V391" i="5"/>
  <c r="P421" i="5"/>
  <c r="V420" i="5"/>
  <c r="Q514" i="5"/>
  <c r="V513" i="5"/>
  <c r="Q132" i="5"/>
  <c r="V131" i="5"/>
  <c r="P606" i="5"/>
  <c r="V605" i="5"/>
  <c r="P411" i="5"/>
  <c r="V410" i="5"/>
  <c r="P148" i="5"/>
  <c r="V147" i="5"/>
  <c r="P360" i="5"/>
  <c r="P361" i="5" s="1"/>
  <c r="V359" i="5"/>
  <c r="P428" i="5"/>
  <c r="V427" i="5"/>
  <c r="Q129" i="5"/>
  <c r="V128" i="5"/>
  <c r="P80" i="5"/>
  <c r="V79" i="5"/>
  <c r="Q216" i="5"/>
  <c r="V215" i="5"/>
  <c r="Q294" i="5"/>
  <c r="V293" i="5"/>
  <c r="Q601" i="5"/>
  <c r="V600" i="5"/>
  <c r="P271" i="5"/>
  <c r="V270" i="5"/>
  <c r="P22" i="5"/>
  <c r="V21" i="5"/>
  <c r="Q528" i="5"/>
  <c r="V527" i="5"/>
  <c r="Q125" i="5"/>
  <c r="V124" i="5"/>
  <c r="Q231" i="5"/>
  <c r="V230" i="5"/>
  <c r="Q581" i="5"/>
  <c r="V580" i="5"/>
  <c r="P598" i="5"/>
  <c r="V597" i="5"/>
  <c r="P303" i="5"/>
  <c r="V302" i="5"/>
  <c r="Q174" i="5"/>
  <c r="V173" i="5"/>
  <c r="Q506" i="5"/>
  <c r="V505" i="5"/>
  <c r="P388" i="5"/>
  <c r="V387" i="5"/>
  <c r="P304" i="5"/>
  <c r="V303" i="5"/>
  <c r="P415" i="5"/>
  <c r="V414" i="5"/>
  <c r="P302" i="5"/>
  <c r="V301" i="5"/>
  <c r="Q399" i="5"/>
  <c r="V398" i="5"/>
  <c r="Q613" i="5"/>
  <c r="V612" i="5"/>
  <c r="Q436" i="5"/>
  <c r="V435" i="5"/>
  <c r="Q235" i="5"/>
  <c r="V233" i="5"/>
  <c r="Q37" i="5"/>
  <c r="V36" i="5"/>
  <c r="Q449" i="5"/>
  <c r="V448" i="5"/>
  <c r="P481" i="5"/>
  <c r="V480" i="5"/>
  <c r="P490" i="5"/>
  <c r="V489" i="5"/>
  <c r="Q322" i="5"/>
  <c r="V321" i="5"/>
  <c r="P366" i="5"/>
  <c r="V365" i="5"/>
  <c r="P350" i="5"/>
  <c r="V349" i="5"/>
  <c r="Q131" i="5"/>
  <c r="V130" i="5"/>
  <c r="P603" i="5"/>
  <c r="V602" i="5"/>
  <c r="P312" i="5"/>
  <c r="V311" i="5"/>
  <c r="P513" i="5"/>
  <c r="V512" i="5"/>
  <c r="P391" i="5"/>
  <c r="V390" i="5"/>
  <c r="Q172" i="5"/>
  <c r="V171" i="5"/>
  <c r="P87" i="5"/>
  <c r="V86" i="5"/>
  <c r="P156" i="5"/>
  <c r="V155" i="5"/>
  <c r="P168" i="5"/>
  <c r="P169" i="5" s="1"/>
  <c r="V167" i="5"/>
  <c r="P620" i="5"/>
  <c r="V619" i="5"/>
  <c r="Q276" i="5"/>
  <c r="V275" i="5"/>
  <c r="Q171" i="5"/>
  <c r="V170" i="5"/>
  <c r="P29" i="5"/>
  <c r="V28" i="5"/>
  <c r="P516" i="5"/>
  <c r="V515" i="5"/>
  <c r="Q526" i="5"/>
  <c r="V525" i="5"/>
  <c r="Q28" i="5"/>
  <c r="V27" i="5"/>
  <c r="P205" i="5"/>
  <c r="V204" i="5"/>
  <c r="P346" i="5"/>
  <c r="V345" i="5"/>
  <c r="Q338" i="5"/>
  <c r="V337" i="5"/>
  <c r="O459" i="5"/>
  <c r="J267" i="5"/>
  <c r="N267" i="5"/>
  <c r="H267" i="5"/>
  <c r="M267" i="5"/>
  <c r="O267" i="5"/>
  <c r="I267" i="5"/>
  <c r="K267" i="5"/>
  <c r="J297" i="5"/>
  <c r="O297" i="5"/>
  <c r="M626" i="5"/>
  <c r="H297" i="5"/>
  <c r="A152" i="5"/>
  <c r="A153" i="5" s="1"/>
  <c r="A154" i="5" s="1"/>
  <c r="A155" i="5" s="1"/>
  <c r="A156" i="5" s="1"/>
  <c r="A157" i="5" s="1"/>
  <c r="Q202" i="5"/>
  <c r="M297" i="5"/>
  <c r="P453" i="5"/>
  <c r="I297" i="5"/>
  <c r="N297" i="5"/>
  <c r="A148" i="3"/>
  <c r="A149" i="3" s="1"/>
  <c r="A150" i="3" s="1"/>
  <c r="A151" i="3" s="1"/>
  <c r="A152" i="3" s="1"/>
  <c r="A153" i="3" s="1"/>
  <c r="A156" i="3" s="1"/>
  <c r="A157" i="3" s="1"/>
  <c r="A158" i="3" s="1"/>
  <c r="A159" i="3" s="1"/>
  <c r="A160" i="3" s="1"/>
  <c r="A161" i="3" s="1"/>
  <c r="A164" i="3" s="1"/>
  <c r="A167" i="3" s="1"/>
  <c r="A168" i="3" s="1"/>
  <c r="A169" i="3" s="1"/>
  <c r="A170" i="3" s="1"/>
  <c r="A171" i="3" s="1"/>
  <c r="A172" i="3" s="1"/>
  <c r="A173" i="3" s="1"/>
  <c r="A176" i="3" s="1"/>
  <c r="A177" i="3" s="1"/>
  <c r="A178" i="3" s="1"/>
  <c r="A179" i="3" s="1"/>
  <c r="A180" i="3" s="1"/>
  <c r="A181" i="3" s="1"/>
  <c r="A182" i="3" s="1"/>
  <c r="A187" i="3" s="1"/>
  <c r="A188" i="3" s="1"/>
  <c r="A189" i="3" s="1"/>
  <c r="A190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5" i="3" s="1"/>
  <c r="A206" i="3" s="1"/>
  <c r="A209" i="3" s="1"/>
  <c r="A212" i="3" s="1"/>
  <c r="A213" i="3" s="1"/>
  <c r="A214" i="3" s="1"/>
  <c r="A215" i="3" s="1"/>
  <c r="W263" i="3"/>
  <c r="M263" i="3"/>
  <c r="X263" i="3"/>
  <c r="Y360" i="3"/>
  <c r="C459" i="3"/>
  <c r="L141" i="5"/>
  <c r="C142" i="3"/>
  <c r="P380" i="3"/>
  <c r="C48" i="3"/>
  <c r="C49" i="3" s="1"/>
  <c r="L331" i="3"/>
  <c r="L611" i="5"/>
  <c r="C494" i="3"/>
  <c r="Q433" i="5"/>
  <c r="Q417" i="5"/>
  <c r="L95" i="5"/>
  <c r="P155" i="5"/>
  <c r="C288" i="3"/>
  <c r="X331" i="3"/>
  <c r="C555" i="3"/>
  <c r="L84" i="5"/>
  <c r="L213" i="5"/>
  <c r="H50" i="3"/>
  <c r="L356" i="5"/>
  <c r="V355" i="5" s="1"/>
  <c r="C354" i="3"/>
  <c r="P528" i="5"/>
  <c r="C464" i="3"/>
  <c r="L468" i="5" s="1"/>
  <c r="X283" i="3"/>
  <c r="L455" i="3"/>
  <c r="E331" i="3"/>
  <c r="O335" i="5"/>
  <c r="I335" i="5"/>
  <c r="P615" i="5"/>
  <c r="N335" i="5"/>
  <c r="K335" i="5"/>
  <c r="M335" i="5"/>
  <c r="H335" i="5"/>
  <c r="P305" i="5"/>
  <c r="Q350" i="5"/>
  <c r="Q411" i="5"/>
  <c r="Q559" i="5"/>
  <c r="I287" i="5"/>
  <c r="J335" i="5"/>
  <c r="D552" i="3"/>
  <c r="Q121" i="5"/>
  <c r="C475" i="3"/>
  <c r="P392" i="5"/>
  <c r="C330" i="3"/>
  <c r="D454" i="3"/>
  <c r="D455" i="3" s="1"/>
  <c r="I331" i="3"/>
  <c r="I623" i="3" s="1"/>
  <c r="P478" i="5"/>
  <c r="P479" i="5" s="1"/>
  <c r="Q621" i="5"/>
  <c r="P219" i="5"/>
  <c r="L112" i="5"/>
  <c r="M331" i="3"/>
  <c r="Q331" i="3"/>
  <c r="C292" i="3"/>
  <c r="P331" i="3"/>
  <c r="D489" i="3"/>
  <c r="D490" i="3" s="1"/>
  <c r="E380" i="3"/>
  <c r="M77" i="5"/>
  <c r="Q388" i="5"/>
  <c r="P223" i="5"/>
  <c r="P529" i="5"/>
  <c r="O533" i="5"/>
  <c r="N384" i="5"/>
  <c r="I533" i="5"/>
  <c r="N533" i="5"/>
  <c r="P132" i="5"/>
  <c r="P506" i="5"/>
  <c r="Q401" i="5"/>
  <c r="P405" i="5"/>
  <c r="K533" i="5"/>
  <c r="H589" i="5"/>
  <c r="M589" i="5"/>
  <c r="J626" i="5"/>
  <c r="O626" i="5"/>
  <c r="Q500" i="5"/>
  <c r="P500" i="5"/>
  <c r="P469" i="5"/>
  <c r="Q469" i="5"/>
  <c r="P595" i="5"/>
  <c r="Q595" i="5"/>
  <c r="C549" i="3"/>
  <c r="L585" i="3"/>
  <c r="P130" i="5"/>
  <c r="L479" i="5"/>
  <c r="C443" i="3"/>
  <c r="Q323" i="5"/>
  <c r="C61" i="3"/>
  <c r="Q391" i="5"/>
  <c r="Q259" i="5"/>
  <c r="Q312" i="5"/>
  <c r="Q606" i="5"/>
  <c r="C207" i="3"/>
  <c r="P164" i="5"/>
  <c r="Q380" i="3"/>
  <c r="F585" i="3"/>
  <c r="Q598" i="5"/>
  <c r="Q481" i="5"/>
  <c r="P258" i="5"/>
  <c r="P585" i="3"/>
  <c r="P322" i="5"/>
  <c r="P324" i="5" s="1"/>
  <c r="L361" i="5"/>
  <c r="Q82" i="5"/>
  <c r="Q569" i="5"/>
  <c r="Q513" i="5"/>
  <c r="C69" i="3"/>
  <c r="C357" i="3"/>
  <c r="C216" i="3"/>
  <c r="P177" i="5"/>
  <c r="P497" i="5"/>
  <c r="P498" i="5" s="1"/>
  <c r="P98" i="5"/>
  <c r="Q33" i="5"/>
  <c r="P410" i="5"/>
  <c r="P235" i="5"/>
  <c r="Q387" i="5"/>
  <c r="P530" i="5"/>
  <c r="Q304" i="5"/>
  <c r="Q603" i="5"/>
  <c r="P118" i="5"/>
  <c r="P614" i="5"/>
  <c r="P565" i="5"/>
  <c r="P547" i="5"/>
  <c r="Q620" i="5"/>
  <c r="P171" i="5"/>
  <c r="N440" i="5"/>
  <c r="Q204" i="5"/>
  <c r="P294" i="5"/>
  <c r="P18" i="5"/>
  <c r="Q18" i="5"/>
  <c r="P88" i="5"/>
  <c r="Q88" i="5"/>
  <c r="P30" i="5"/>
  <c r="Q30" i="5"/>
  <c r="Q64" i="5"/>
  <c r="Q65" i="5" s="1"/>
  <c r="P64" i="5"/>
  <c r="P65" i="5" s="1"/>
  <c r="P398" i="5"/>
  <c r="Q398" i="5"/>
  <c r="L73" i="5"/>
  <c r="P72" i="5"/>
  <c r="P73" i="5" s="1"/>
  <c r="P37" i="5"/>
  <c r="C607" i="3"/>
  <c r="D421" i="3"/>
  <c r="D436" i="3" s="1"/>
  <c r="P172" i="5"/>
  <c r="P338" i="5"/>
  <c r="Q428" i="5"/>
  <c r="Q256" i="5"/>
  <c r="L209" i="5"/>
  <c r="V208" i="5" s="1"/>
  <c r="C80" i="3"/>
  <c r="C402" i="3"/>
  <c r="C66" i="3"/>
  <c r="Q182" i="5"/>
  <c r="C46" i="3"/>
  <c r="C326" i="3"/>
  <c r="C262" i="3"/>
  <c r="P622" i="3"/>
  <c r="E585" i="3"/>
  <c r="P50" i="3"/>
  <c r="M585" i="3"/>
  <c r="X585" i="3"/>
  <c r="L498" i="5"/>
  <c r="P241" i="5"/>
  <c r="Q421" i="5"/>
  <c r="L333" i="5"/>
  <c r="Q605" i="5"/>
  <c r="P402" i="5"/>
  <c r="P49" i="5"/>
  <c r="Q181" i="5"/>
  <c r="C365" i="3"/>
  <c r="C500" i="3"/>
  <c r="C165" i="3"/>
  <c r="C320" i="3"/>
  <c r="U623" i="3"/>
  <c r="Q224" i="3"/>
  <c r="N589" i="5"/>
  <c r="L110" i="5"/>
  <c r="P257" i="5"/>
  <c r="L394" i="5"/>
  <c r="Q42" i="5"/>
  <c r="Q154" i="5"/>
  <c r="N228" i="5"/>
  <c r="N287" i="5"/>
  <c r="P216" i="5"/>
  <c r="P449" i="5"/>
  <c r="Q72" i="5"/>
  <c r="Q148" i="5"/>
  <c r="Q415" i="5"/>
  <c r="Q26" i="5"/>
  <c r="L40" i="5"/>
  <c r="P545" i="5"/>
  <c r="Q622" i="5"/>
  <c r="P623" i="5"/>
  <c r="P202" i="5"/>
  <c r="P512" i="5"/>
  <c r="Q302" i="5"/>
  <c r="Q44" i="5"/>
  <c r="P153" i="5"/>
  <c r="Q87" i="5"/>
  <c r="P283" i="5"/>
  <c r="P176" i="5"/>
  <c r="P21" i="5"/>
  <c r="K589" i="5"/>
  <c r="K626" i="5"/>
  <c r="Q453" i="5"/>
  <c r="H626" i="5"/>
  <c r="Q367" i="5"/>
  <c r="Q404" i="5"/>
  <c r="Q346" i="5"/>
  <c r="P399" i="5"/>
  <c r="Q92" i="5"/>
  <c r="Q22" i="5"/>
  <c r="H533" i="5"/>
  <c r="I589" i="5"/>
  <c r="Q80" i="5"/>
  <c r="Q360" i="5"/>
  <c r="Q482" i="5"/>
  <c r="P601" i="5"/>
  <c r="K440" i="5"/>
  <c r="J589" i="5"/>
  <c r="O589" i="5"/>
  <c r="Q580" i="5"/>
  <c r="P580" i="5"/>
  <c r="Q23" i="5"/>
  <c r="P23" i="5"/>
  <c r="Q342" i="5"/>
  <c r="P342" i="5"/>
  <c r="L316" i="5"/>
  <c r="V315" i="5" s="1"/>
  <c r="L330" i="5"/>
  <c r="P329" i="5"/>
  <c r="P330" i="5" s="1"/>
  <c r="Q160" i="5"/>
  <c r="Q389" i="5"/>
  <c r="Q366" i="5"/>
  <c r="Q29" i="5"/>
  <c r="Q329" i="5"/>
  <c r="C348" i="3"/>
  <c r="Q142" i="5"/>
  <c r="P142" i="5"/>
  <c r="L149" i="5"/>
  <c r="V148" i="5" s="1"/>
  <c r="C146" i="3"/>
  <c r="C89" i="3"/>
  <c r="L91" i="5"/>
  <c r="V90" i="5" s="1"/>
  <c r="C309" i="3"/>
  <c r="L311" i="5"/>
  <c r="C315" i="3"/>
  <c r="D316" i="3"/>
  <c r="D323" i="3"/>
  <c r="C322" i="3"/>
  <c r="P131" i="5"/>
  <c r="P129" i="5"/>
  <c r="Q456" i="5"/>
  <c r="P436" i="5"/>
  <c r="P389" i="5"/>
  <c r="Q490" i="5"/>
  <c r="P551" i="5"/>
  <c r="L463" i="5"/>
  <c r="P390" i="5"/>
  <c r="P514" i="5"/>
  <c r="Q609" i="5"/>
  <c r="P609" i="5"/>
  <c r="Q396" i="5"/>
  <c r="P396" i="5"/>
  <c r="L555" i="5"/>
  <c r="C552" i="3"/>
  <c r="C489" i="3"/>
  <c r="P203" i="5"/>
  <c r="Q203" i="5"/>
  <c r="P483" i="5"/>
  <c r="Q483" i="5"/>
  <c r="D573" i="3"/>
  <c r="P619" i="5"/>
  <c r="Q619" i="5"/>
  <c r="L50" i="5"/>
  <c r="L75" i="5"/>
  <c r="C72" i="3"/>
  <c r="C440" i="3"/>
  <c r="L443" i="5"/>
  <c r="Q624" i="5"/>
  <c r="P624" i="5"/>
  <c r="P206" i="5"/>
  <c r="Q206" i="5"/>
  <c r="P348" i="5"/>
  <c r="Q348" i="5"/>
  <c r="L262" i="5"/>
  <c r="C259" i="3"/>
  <c r="W313" i="3"/>
  <c r="W331" i="3" s="1"/>
  <c r="C311" i="3"/>
  <c r="L315" i="5" s="1"/>
  <c r="P424" i="5"/>
  <c r="Q424" i="5"/>
  <c r="Q115" i="5"/>
  <c r="C85" i="3"/>
  <c r="Q152" i="5"/>
  <c r="L158" i="5"/>
  <c r="C203" i="3"/>
  <c r="L197" i="5"/>
  <c r="P244" i="5"/>
  <c r="Q244" i="5"/>
  <c r="P511" i="5"/>
  <c r="Q511" i="5"/>
  <c r="P587" i="5"/>
  <c r="Q587" i="5"/>
  <c r="P200" i="5"/>
  <c r="Q200" i="5"/>
  <c r="H585" i="3"/>
  <c r="Q408" i="5"/>
  <c r="Q17" i="5"/>
  <c r="Q462" i="5"/>
  <c r="P564" i="5"/>
  <c r="L67" i="5"/>
  <c r="V66" i="5" s="1"/>
  <c r="Q486" i="5"/>
  <c r="P486" i="5"/>
  <c r="C390" i="3"/>
  <c r="C447" i="3"/>
  <c r="C421" i="3"/>
  <c r="P566" i="5"/>
  <c r="C133" i="3"/>
  <c r="L135" i="5"/>
  <c r="V134" i="5" s="1"/>
  <c r="L451" i="5"/>
  <c r="C462" i="3"/>
  <c r="P604" i="5"/>
  <c r="Q604" i="5"/>
  <c r="L266" i="5"/>
  <c r="L57" i="5"/>
  <c r="C54" i="3"/>
  <c r="Q163" i="5"/>
  <c r="P163" i="5"/>
  <c r="C595" i="3"/>
  <c r="G50" i="3"/>
  <c r="G623" i="3" s="1"/>
  <c r="X73" i="3"/>
  <c r="L184" i="3"/>
  <c r="P541" i="5"/>
  <c r="Q541" i="5"/>
  <c r="C154" i="3"/>
  <c r="C129" i="3"/>
  <c r="C454" i="3"/>
  <c r="Q25" i="5"/>
  <c r="P25" i="5"/>
  <c r="X380" i="3"/>
  <c r="L380" i="3"/>
  <c r="L622" i="3"/>
  <c r="L284" i="5"/>
  <c r="C282" i="3"/>
  <c r="Q351" i="5"/>
  <c r="P351" i="5"/>
  <c r="Q183" i="5"/>
  <c r="P183" i="5"/>
  <c r="L427" i="5"/>
  <c r="C430" i="3"/>
  <c r="L73" i="3"/>
  <c r="J224" i="3"/>
  <c r="J623" i="3" s="1"/>
  <c r="K380" i="3"/>
  <c r="C36" i="3"/>
  <c r="C106" i="3"/>
  <c r="F50" i="3"/>
  <c r="P224" i="3"/>
  <c r="M380" i="3"/>
  <c r="E490" i="3"/>
  <c r="L363" i="5"/>
  <c r="P437" i="5"/>
  <c r="C435" i="3"/>
  <c r="L439" i="5"/>
  <c r="Q544" i="5"/>
  <c r="P544" i="5"/>
  <c r="L548" i="5"/>
  <c r="C544" i="3"/>
  <c r="P535" i="5"/>
  <c r="P558" i="5"/>
  <c r="P559" i="5" s="1"/>
  <c r="Q585" i="3"/>
  <c r="Q558" i="5"/>
  <c r="P561" i="5"/>
  <c r="Q561" i="5"/>
  <c r="P567" i="5"/>
  <c r="O585" i="3"/>
  <c r="O623" i="3" s="1"/>
  <c r="P253" i="5"/>
  <c r="Q253" i="5"/>
  <c r="L89" i="5"/>
  <c r="V88" i="5" s="1"/>
  <c r="C277" i="3"/>
  <c r="C268" i="3"/>
  <c r="L272" i="5" s="1"/>
  <c r="V271" i="5" s="1"/>
  <c r="C250" i="3"/>
  <c r="L254" i="5" s="1"/>
  <c r="C187" i="3"/>
  <c r="L191" i="5" s="1"/>
  <c r="L145" i="5"/>
  <c r="V144" i="5" s="1"/>
  <c r="C415" i="3"/>
  <c r="C162" i="3"/>
  <c r="D584" i="3"/>
  <c r="Q156" i="5"/>
  <c r="P491" i="5"/>
  <c r="O287" i="5"/>
  <c r="M287" i="5"/>
  <c r="J287" i="5"/>
  <c r="L369" i="5"/>
  <c r="N54" i="5"/>
  <c r="Q418" i="5"/>
  <c r="P418" i="5"/>
  <c r="Q344" i="5"/>
  <c r="P344" i="5"/>
  <c r="P251" i="5"/>
  <c r="Q251" i="5"/>
  <c r="P397" i="5"/>
  <c r="L406" i="5"/>
  <c r="Q397" i="5"/>
  <c r="P285" i="5"/>
  <c r="Q285" i="5"/>
  <c r="P116" i="5"/>
  <c r="Q116" i="5"/>
  <c r="C584" i="3"/>
  <c r="P28" i="5"/>
  <c r="M73" i="3"/>
  <c r="Q134" i="3"/>
  <c r="W455" i="3"/>
  <c r="L50" i="3"/>
  <c r="X436" i="3"/>
  <c r="Q455" i="3"/>
  <c r="Q622" i="3"/>
  <c r="Q341" i="5"/>
  <c r="P341" i="5"/>
  <c r="Q306" i="5"/>
  <c r="P306" i="5"/>
  <c r="P487" i="5"/>
  <c r="Q487" i="5"/>
  <c r="P485" i="5"/>
  <c r="Q485" i="5"/>
  <c r="P446" i="5"/>
  <c r="P447" i="5" s="1"/>
  <c r="L447" i="5"/>
  <c r="P300" i="5"/>
  <c r="Q300" i="5"/>
  <c r="P20" i="5"/>
  <c r="Q20" i="5"/>
  <c r="Q157" i="5"/>
  <c r="P157" i="5"/>
  <c r="Q357" i="5"/>
  <c r="P357" i="5"/>
  <c r="Q470" i="5"/>
  <c r="P470" i="5"/>
  <c r="J54" i="5"/>
  <c r="P265" i="5"/>
  <c r="Q265" i="5"/>
  <c r="L504" i="5"/>
  <c r="V503" i="5" s="1"/>
  <c r="L588" i="5"/>
  <c r="V587" i="5" s="1"/>
  <c r="L625" i="5"/>
  <c r="M138" i="5"/>
  <c r="O138" i="5"/>
  <c r="J110" i="5"/>
  <c r="J138" i="5" s="1"/>
  <c r="J188" i="5"/>
  <c r="M384" i="5"/>
  <c r="H440" i="5"/>
  <c r="I459" i="5"/>
  <c r="K459" i="5"/>
  <c r="N459" i="5"/>
  <c r="H459" i="5"/>
  <c r="J459" i="5"/>
  <c r="M459" i="5"/>
  <c r="I494" i="5"/>
  <c r="K494" i="5"/>
  <c r="N494" i="5"/>
  <c r="H494" i="5"/>
  <c r="J494" i="5"/>
  <c r="M494" i="5"/>
  <c r="O494" i="5"/>
  <c r="Q126" i="5"/>
  <c r="Q616" i="5"/>
  <c r="K54" i="5"/>
  <c r="M533" i="5"/>
  <c r="J533" i="5"/>
  <c r="I440" i="5"/>
  <c r="P610" i="5"/>
  <c r="Q610" i="5"/>
  <c r="Q422" i="5"/>
  <c r="P422" i="5"/>
  <c r="Q345" i="5"/>
  <c r="P345" i="5"/>
  <c r="P349" i="5"/>
  <c r="Q349" i="5"/>
  <c r="Q552" i="5"/>
  <c r="L553" i="5"/>
  <c r="P552" i="5"/>
  <c r="P161" i="5"/>
  <c r="L166" i="5"/>
  <c r="Q161" i="5"/>
  <c r="P510" i="5"/>
  <c r="Q510" i="5"/>
  <c r="P173" i="5"/>
  <c r="Q173" i="5"/>
  <c r="P343" i="5"/>
  <c r="Q343" i="5"/>
  <c r="Q484" i="5"/>
  <c r="P484" i="5"/>
  <c r="L488" i="5"/>
  <c r="P240" i="5"/>
  <c r="Q240" i="5"/>
  <c r="P210" i="5"/>
  <c r="Q210" i="5"/>
  <c r="P218" i="5"/>
  <c r="Q218" i="5"/>
  <c r="L599" i="5"/>
  <c r="P24" i="5"/>
  <c r="Q24" i="5"/>
  <c r="P27" i="5"/>
  <c r="Q27" i="5"/>
  <c r="L352" i="5"/>
  <c r="D31" i="3"/>
  <c r="D50" i="3" s="1"/>
  <c r="Q168" i="5"/>
  <c r="L169" i="5"/>
  <c r="C176" i="3"/>
  <c r="L180" i="5" s="1"/>
  <c r="V179" i="5" s="1"/>
  <c r="D183" i="3"/>
  <c r="P198" i="5"/>
  <c r="Q198" i="5"/>
  <c r="P199" i="5"/>
  <c r="Q199" i="5"/>
  <c r="Q377" i="5"/>
  <c r="P377" i="5"/>
  <c r="C375" i="3"/>
  <c r="P490" i="3"/>
  <c r="L375" i="5"/>
  <c r="Q376" i="5"/>
  <c r="P376" i="5"/>
  <c r="L15" i="5"/>
  <c r="C27" i="3"/>
  <c r="P231" i="5"/>
  <c r="W283" i="3"/>
  <c r="M283" i="3"/>
  <c r="D142" i="3"/>
  <c r="P134" i="3"/>
  <c r="M184" i="3"/>
  <c r="T623" i="3"/>
  <c r="W380" i="3"/>
  <c r="M436" i="3"/>
  <c r="P436" i="3"/>
  <c r="L436" i="3"/>
  <c r="X455" i="3"/>
  <c r="M455" i="3"/>
  <c r="W490" i="3"/>
  <c r="W529" i="3"/>
  <c r="W622" i="3"/>
  <c r="X622" i="3"/>
  <c r="M622" i="3"/>
  <c r="M50" i="3"/>
  <c r="P455" i="3"/>
  <c r="D595" i="3"/>
  <c r="D622" i="3" s="1"/>
  <c r="Q86" i="5"/>
  <c r="P86" i="5"/>
  <c r="Q273" i="5"/>
  <c r="P273" i="5"/>
  <c r="H54" i="5"/>
  <c r="K384" i="5"/>
  <c r="I384" i="5"/>
  <c r="J440" i="5"/>
  <c r="N626" i="5"/>
  <c r="P584" i="5"/>
  <c r="Q584" i="5"/>
  <c r="H188" i="5"/>
  <c r="K188" i="5"/>
  <c r="O54" i="5"/>
  <c r="M54" i="5"/>
  <c r="L65" i="5"/>
  <c r="V64" i="5" s="1"/>
  <c r="P613" i="5"/>
  <c r="Q617" i="5"/>
  <c r="Q201" i="5"/>
  <c r="P276" i="5"/>
  <c r="P194" i="5"/>
  <c r="P372" i="5"/>
  <c r="Q372" i="5"/>
  <c r="P16" i="5"/>
  <c r="Q16" i="5"/>
  <c r="Q252" i="5"/>
  <c r="P252" i="5"/>
  <c r="H228" i="5"/>
  <c r="H77" i="5"/>
  <c r="J77" i="5"/>
  <c r="O77" i="5"/>
  <c r="I77" i="5"/>
  <c r="K77" i="5"/>
  <c r="N77" i="5"/>
  <c r="I138" i="5"/>
  <c r="K138" i="5"/>
  <c r="N138" i="5"/>
  <c r="I188" i="5"/>
  <c r="J228" i="5"/>
  <c r="H384" i="5"/>
  <c r="J384" i="5"/>
  <c r="K228" i="5"/>
  <c r="H287" i="5"/>
  <c r="P618" i="5"/>
  <c r="Q618" i="5"/>
  <c r="Q573" i="5"/>
  <c r="P573" i="5"/>
  <c r="P539" i="5"/>
  <c r="Q539" i="5"/>
  <c r="Q403" i="5"/>
  <c r="P403" i="5"/>
  <c r="Q143" i="5"/>
  <c r="P143" i="5"/>
  <c r="Q400" i="5"/>
  <c r="P400" i="5"/>
  <c r="Q83" i="5"/>
  <c r="P83" i="5"/>
  <c r="P492" i="5"/>
  <c r="Q492" i="5"/>
  <c r="Q295" i="5"/>
  <c r="L296" i="5"/>
  <c r="P295" i="5"/>
  <c r="Q248" i="5"/>
  <c r="P248" i="5"/>
  <c r="P393" i="5"/>
  <c r="Q393" i="5"/>
  <c r="Q81" i="5"/>
  <c r="P81" i="5"/>
  <c r="Q217" i="5"/>
  <c r="L220" i="5"/>
  <c r="P217" i="5"/>
  <c r="L184" i="5"/>
  <c r="V183" i="5" s="1"/>
  <c r="P307" i="5"/>
  <c r="Q307" i="5"/>
  <c r="L324" i="5"/>
  <c r="C528" i="3"/>
  <c r="Q271" i="5"/>
  <c r="Q69" i="5"/>
  <c r="P69" i="5"/>
  <c r="L270" i="5"/>
  <c r="Q291" i="5"/>
  <c r="P291" i="5"/>
  <c r="Q368" i="5"/>
  <c r="P368" i="5"/>
  <c r="Q255" i="5"/>
  <c r="Q347" i="5"/>
  <c r="P347" i="5"/>
  <c r="Q525" i="5"/>
  <c r="P525" i="5"/>
  <c r="P522" i="5"/>
  <c r="Q522" i="5"/>
  <c r="P520" i="5"/>
  <c r="Q520" i="5"/>
  <c r="Q247" i="5"/>
  <c r="P247" i="5"/>
  <c r="L532" i="5"/>
  <c r="L493" i="5"/>
  <c r="L133" i="5"/>
  <c r="P193" i="5"/>
  <c r="Q193" i="5"/>
  <c r="Q239" i="5"/>
  <c r="P239" i="5"/>
  <c r="Q378" i="5"/>
  <c r="P378" i="5"/>
  <c r="C369" i="3"/>
  <c r="L371" i="5"/>
  <c r="P144" i="5"/>
  <c r="Q144" i="5"/>
  <c r="Q60" i="5"/>
  <c r="P60" i="5"/>
  <c r="P570" i="5"/>
  <c r="Q570" i="5"/>
  <c r="Q527" i="5"/>
  <c r="P517" i="5"/>
  <c r="Q517" i="5"/>
  <c r="P515" i="5"/>
  <c r="Q515" i="5"/>
  <c r="P124" i="5"/>
  <c r="Q117" i="5"/>
  <c r="D123" i="3"/>
  <c r="D134" i="3" s="1"/>
  <c r="D174" i="3"/>
  <c r="C171" i="3"/>
  <c r="Q205" i="5"/>
  <c r="P246" i="5"/>
  <c r="Q246" i="5"/>
  <c r="L292" i="5"/>
  <c r="V291" i="5" s="1"/>
  <c r="Q436" i="3"/>
  <c r="C58" i="3"/>
  <c r="R623" i="3"/>
  <c r="M490" i="3"/>
  <c r="Q339" i="5"/>
  <c r="S623" i="3"/>
  <c r="X50" i="3"/>
  <c r="Q50" i="3"/>
  <c r="M134" i="3"/>
  <c r="X134" i="3"/>
  <c r="W184" i="3"/>
  <c r="X184" i="3"/>
  <c r="E184" i="3"/>
  <c r="M224" i="3"/>
  <c r="X224" i="3"/>
  <c r="L224" i="3"/>
  <c r="L283" i="3"/>
  <c r="L490" i="3"/>
  <c r="Q531" i="5"/>
  <c r="P531" i="5"/>
  <c r="Q450" i="5"/>
  <c r="P450" i="5"/>
  <c r="Q423" i="5"/>
  <c r="L425" i="5"/>
  <c r="P423" i="5"/>
  <c r="L309" i="5"/>
  <c r="Q303" i="5"/>
  <c r="Q416" i="5"/>
  <c r="L419" i="5"/>
  <c r="P174" i="5"/>
  <c r="L607" i="5"/>
  <c r="P602" i="5"/>
  <c r="P340" i="5"/>
  <c r="Q340" i="5"/>
  <c r="Q507" i="5"/>
  <c r="P507" i="5"/>
  <c r="Q38" i="5"/>
  <c r="P38" i="5"/>
  <c r="P68" i="5"/>
  <c r="Q68" i="5"/>
  <c r="Q100" i="5"/>
  <c r="P100" i="5"/>
  <c r="Q102" i="5"/>
  <c r="P102" i="5"/>
  <c r="P104" i="5"/>
  <c r="Q104" i="5"/>
  <c r="Q106" i="5"/>
  <c r="P106" i="5"/>
  <c r="Q108" i="5"/>
  <c r="P108" i="5"/>
  <c r="P136" i="5"/>
  <c r="Q136" i="5"/>
  <c r="P186" i="5"/>
  <c r="Q186" i="5"/>
  <c r="Q225" i="5"/>
  <c r="P225" i="5"/>
  <c r="P242" i="5"/>
  <c r="Q242" i="5"/>
  <c r="Q301" i="5"/>
  <c r="P301" i="5"/>
  <c r="P430" i="5"/>
  <c r="Q430" i="5"/>
  <c r="P432" i="5"/>
  <c r="Q432" i="5"/>
  <c r="P465" i="5"/>
  <c r="P466" i="5" s="1"/>
  <c r="L466" i="5"/>
  <c r="V465" i="5" s="1"/>
  <c r="Q465" i="5"/>
  <c r="Q503" i="5"/>
  <c r="P503" i="5"/>
  <c r="Q508" i="5"/>
  <c r="P508" i="5"/>
  <c r="Q537" i="5"/>
  <c r="P537" i="5"/>
  <c r="P542" i="5"/>
  <c r="Q542" i="5"/>
  <c r="P546" i="5"/>
  <c r="Q546" i="5"/>
  <c r="P538" i="5"/>
  <c r="Q538" i="5"/>
  <c r="Q585" i="5"/>
  <c r="P585" i="5"/>
  <c r="Q596" i="5"/>
  <c r="P596" i="5"/>
  <c r="Q43" i="5"/>
  <c r="P43" i="5"/>
  <c r="Q47" i="5"/>
  <c r="P47" i="5"/>
  <c r="P46" i="5"/>
  <c r="Q46" i="5"/>
  <c r="Q280" i="5"/>
  <c r="P280" i="5"/>
  <c r="P278" i="5"/>
  <c r="Q278" i="5"/>
  <c r="Q472" i="5"/>
  <c r="P472" i="5"/>
  <c r="P474" i="5"/>
  <c r="Q474" i="5"/>
  <c r="P332" i="5"/>
  <c r="Q332" i="5"/>
  <c r="Q238" i="5"/>
  <c r="P238" i="5"/>
  <c r="Q236" i="5"/>
  <c r="P236" i="5"/>
  <c r="Q249" i="5"/>
  <c r="P249" i="5"/>
  <c r="C305" i="3"/>
  <c r="C484" i="3"/>
  <c r="C603" i="3"/>
  <c r="C573" i="3"/>
  <c r="C621" i="3"/>
  <c r="L34" i="5"/>
  <c r="V33" i="5" s="1"/>
  <c r="C31" i="3"/>
  <c r="Q39" i="5"/>
  <c r="P39" i="5"/>
  <c r="Q99" i="5"/>
  <c r="P99" i="5"/>
  <c r="P101" i="5"/>
  <c r="Q101" i="5"/>
  <c r="P103" i="5"/>
  <c r="Q103" i="5"/>
  <c r="P105" i="5"/>
  <c r="Q105" i="5"/>
  <c r="Q107" i="5"/>
  <c r="P107" i="5"/>
  <c r="P109" i="5"/>
  <c r="Q109" i="5"/>
  <c r="P185" i="5"/>
  <c r="Q185" i="5"/>
  <c r="Q224" i="5"/>
  <c r="P224" i="5"/>
  <c r="P226" i="5"/>
  <c r="Q226" i="5"/>
  <c r="Q250" i="5"/>
  <c r="P250" i="5"/>
  <c r="P308" i="5"/>
  <c r="Q308" i="5"/>
  <c r="Q429" i="5"/>
  <c r="P429" i="5"/>
  <c r="Q431" i="5"/>
  <c r="P431" i="5"/>
  <c r="P501" i="5"/>
  <c r="Q501" i="5"/>
  <c r="P502" i="5"/>
  <c r="Q502" i="5"/>
  <c r="Q509" i="5"/>
  <c r="P509" i="5"/>
  <c r="Q536" i="5"/>
  <c r="P536" i="5"/>
  <c r="Q543" i="5"/>
  <c r="P543" i="5"/>
  <c r="P540" i="5"/>
  <c r="Q540" i="5"/>
  <c r="Q586" i="5"/>
  <c r="P586" i="5"/>
  <c r="P597" i="5"/>
  <c r="Q597" i="5"/>
  <c r="P45" i="5"/>
  <c r="Q45" i="5"/>
  <c r="P48" i="5"/>
  <c r="Q48" i="5"/>
  <c r="L281" i="5"/>
  <c r="V280" i="5" s="1"/>
  <c r="P277" i="5"/>
  <c r="Q277" i="5"/>
  <c r="P279" i="5"/>
  <c r="Q279" i="5"/>
  <c r="P471" i="5"/>
  <c r="Q471" i="5"/>
  <c r="P473" i="5"/>
  <c r="Q473" i="5"/>
  <c r="P475" i="5"/>
  <c r="Q475" i="5"/>
  <c r="P61" i="5"/>
  <c r="L62" i="5"/>
  <c r="Q61" i="5"/>
  <c r="P237" i="5"/>
  <c r="Q237" i="5"/>
  <c r="P245" i="5"/>
  <c r="Q245" i="5"/>
  <c r="P192" i="5"/>
  <c r="Q290" i="5"/>
  <c r="P290" i="5"/>
  <c r="Q192" i="5"/>
  <c r="I54" i="5"/>
  <c r="Q119" i="5"/>
  <c r="P119" i="5"/>
  <c r="H138" i="5"/>
  <c r="O440" i="5"/>
  <c r="M440" i="5"/>
  <c r="I626" i="5"/>
  <c r="P523" i="5"/>
  <c r="Q523" i="5"/>
  <c r="P521" i="5"/>
  <c r="Q521" i="5"/>
  <c r="P519" i="5"/>
  <c r="Q519" i="5"/>
  <c r="P19" i="5"/>
  <c r="Q19" i="5"/>
  <c r="P120" i="5"/>
  <c r="Q120" i="5"/>
  <c r="D256" i="3"/>
  <c r="D263" i="3" s="1"/>
  <c r="C229" i="3"/>
  <c r="P232" i="5"/>
  <c r="Q232" i="5"/>
  <c r="P381" i="5"/>
  <c r="C378" i="3"/>
  <c r="D379" i="3"/>
  <c r="D380" i="3" s="1"/>
  <c r="P122" i="5"/>
  <c r="Q122" i="5"/>
  <c r="I228" i="5"/>
  <c r="O384" i="5"/>
  <c r="K287" i="5"/>
  <c r="P526" i="5"/>
  <c r="Q524" i="5"/>
  <c r="Q518" i="5"/>
  <c r="Q516" i="5"/>
  <c r="P125" i="5"/>
  <c r="Q381" i="5"/>
  <c r="P165" i="5"/>
  <c r="Q162" i="5"/>
  <c r="P162" i="5"/>
  <c r="C218" i="3"/>
  <c r="W223" i="3"/>
  <c r="O228" i="5"/>
  <c r="M228" i="5"/>
  <c r="P412" i="5"/>
  <c r="P579" i="5"/>
  <c r="P571" i="5"/>
  <c r="Q438" i="5"/>
  <c r="W409" i="3"/>
  <c r="C405" i="3"/>
  <c r="Q582" i="5"/>
  <c r="P581" i="5"/>
  <c r="Q583" i="5"/>
  <c r="P583" i="5"/>
  <c r="W123" i="3"/>
  <c r="C119" i="3"/>
  <c r="N623" i="3"/>
  <c r="L592" i="5"/>
  <c r="V591" i="5" s="1"/>
  <c r="C589" i="3"/>
  <c r="W50" i="3"/>
  <c r="L134" i="3"/>
  <c r="W573" i="3"/>
  <c r="W585" i="3" s="1"/>
  <c r="X490" i="3"/>
  <c r="Q490" i="3"/>
  <c r="Q565" i="5" l="1"/>
  <c r="Q568" i="5"/>
  <c r="P568" i="5"/>
  <c r="P419" i="5"/>
  <c r="Q572" i="5"/>
  <c r="Q454" i="5"/>
  <c r="Q574" i="5"/>
  <c r="P456" i="5"/>
  <c r="Q576" i="5"/>
  <c r="Q455" i="5"/>
  <c r="P574" i="5"/>
  <c r="P454" i="5"/>
  <c r="Q566" i="5"/>
  <c r="V606" i="5"/>
  <c r="L577" i="5"/>
  <c r="V576" i="5" s="1"/>
  <c r="V446" i="5"/>
  <c r="V558" i="5"/>
  <c r="V165" i="5"/>
  <c r="K623" i="3"/>
  <c r="V109" i="5"/>
  <c r="Q571" i="5"/>
  <c r="P455" i="5"/>
  <c r="P576" i="5"/>
  <c r="P575" i="5"/>
  <c r="V308" i="5"/>
  <c r="Q575" i="5"/>
  <c r="Q564" i="5"/>
  <c r="P572" i="5"/>
  <c r="Q296" i="5"/>
  <c r="V295" i="5"/>
  <c r="Q406" i="5"/>
  <c r="V405" i="5"/>
  <c r="P191" i="5"/>
  <c r="V190" i="5"/>
  <c r="Q439" i="5"/>
  <c r="V438" i="5"/>
  <c r="L286" i="5"/>
  <c r="V283" i="5"/>
  <c r="P75" i="5"/>
  <c r="P76" i="5" s="1"/>
  <c r="V74" i="5"/>
  <c r="Q73" i="5"/>
  <c r="V72" i="5"/>
  <c r="Q220" i="5"/>
  <c r="V219" i="5"/>
  <c r="Q169" i="5"/>
  <c r="V168" i="5"/>
  <c r="Q599" i="5"/>
  <c r="V598" i="5"/>
  <c r="P254" i="5"/>
  <c r="V253" i="5"/>
  <c r="Q158" i="5"/>
  <c r="V157" i="5"/>
  <c r="L444" i="5"/>
  <c r="V442" i="5"/>
  <c r="Q361" i="5"/>
  <c r="V360" i="5"/>
  <c r="Q95" i="5"/>
  <c r="V94" i="5"/>
  <c r="Q493" i="5"/>
  <c r="V492" i="5"/>
  <c r="Q532" i="5"/>
  <c r="V531" i="5"/>
  <c r="P369" i="5"/>
  <c r="P270" i="5"/>
  <c r="V269" i="5"/>
  <c r="P363" i="5"/>
  <c r="P364" i="5" s="1"/>
  <c r="V362" i="5"/>
  <c r="Q266" i="5"/>
  <c r="V265" i="5"/>
  <c r="Q451" i="5"/>
  <c r="V450" i="5"/>
  <c r="L207" i="5"/>
  <c r="V196" i="5"/>
  <c r="P315" i="5"/>
  <c r="V314" i="5"/>
  <c r="L556" i="5"/>
  <c r="V555" i="5" s="1"/>
  <c r="V554" i="5"/>
  <c r="Q112" i="5"/>
  <c r="Q113" i="5" s="1"/>
  <c r="V111" i="5"/>
  <c r="P213" i="5"/>
  <c r="P214" i="5" s="1"/>
  <c r="V212" i="5"/>
  <c r="Q324" i="5"/>
  <c r="V323" i="5"/>
  <c r="Q488" i="5"/>
  <c r="V487" i="5"/>
  <c r="Q625" i="5"/>
  <c r="V624" i="5"/>
  <c r="Q394" i="5"/>
  <c r="V393" i="5"/>
  <c r="Q84" i="5"/>
  <c r="V83" i="5"/>
  <c r="Q425" i="5"/>
  <c r="V424" i="5"/>
  <c r="Q371" i="5"/>
  <c r="V370" i="5"/>
  <c r="Q133" i="5"/>
  <c r="V132" i="5"/>
  <c r="Q553" i="5"/>
  <c r="V552" i="5"/>
  <c r="Q369" i="5"/>
  <c r="V368" i="5"/>
  <c r="Q548" i="5"/>
  <c r="V547" i="5"/>
  <c r="Q50" i="5"/>
  <c r="V49" i="5"/>
  <c r="Q330" i="5"/>
  <c r="V329" i="5"/>
  <c r="Q40" i="5"/>
  <c r="V39" i="5"/>
  <c r="Q498" i="5"/>
  <c r="V497" i="5"/>
  <c r="Q611" i="5"/>
  <c r="V610" i="5"/>
  <c r="Q62" i="5"/>
  <c r="V61" i="5"/>
  <c r="Q419" i="5"/>
  <c r="V418" i="5"/>
  <c r="L379" i="5"/>
  <c r="V378" i="5" s="1"/>
  <c r="V374" i="5"/>
  <c r="L434" i="5"/>
  <c r="V426" i="5"/>
  <c r="P57" i="5"/>
  <c r="P58" i="5" s="1"/>
  <c r="V56" i="5"/>
  <c r="P262" i="5"/>
  <c r="P263" i="5" s="1"/>
  <c r="V261" i="5"/>
  <c r="Q463" i="5"/>
  <c r="V462" i="5"/>
  <c r="L313" i="5"/>
  <c r="V310" i="5"/>
  <c r="L334" i="5"/>
  <c r="V332" i="5"/>
  <c r="Q479" i="5"/>
  <c r="V478" i="5"/>
  <c r="L476" i="5"/>
  <c r="V467" i="5"/>
  <c r="Q141" i="5"/>
  <c r="V140" i="5"/>
  <c r="L353" i="5"/>
  <c r="V351" i="5"/>
  <c r="Q577" i="5"/>
  <c r="A160" i="5"/>
  <c r="A161" i="5" s="1"/>
  <c r="A162" i="5" s="1"/>
  <c r="A163" i="5" s="1"/>
  <c r="A164" i="5" s="1"/>
  <c r="A165" i="5" s="1"/>
  <c r="A168" i="5" s="1"/>
  <c r="A171" i="5" s="1"/>
  <c r="A172" i="5" s="1"/>
  <c r="A173" i="5" s="1"/>
  <c r="A174" i="5" s="1"/>
  <c r="A175" i="5" s="1"/>
  <c r="A176" i="5" s="1"/>
  <c r="A177" i="5" s="1"/>
  <c r="A180" i="5" s="1"/>
  <c r="A181" i="5" s="1"/>
  <c r="A182" i="5" s="1"/>
  <c r="A183" i="5" s="1"/>
  <c r="A184" i="5" s="1"/>
  <c r="A185" i="5" s="1"/>
  <c r="A186" i="5" s="1"/>
  <c r="A191" i="5" s="1"/>
  <c r="A192" i="5" s="1"/>
  <c r="A193" i="5" s="1"/>
  <c r="A194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9" i="5" s="1"/>
  <c r="A210" i="5" s="1"/>
  <c r="A213" i="5" s="1"/>
  <c r="A216" i="5" s="1"/>
  <c r="A217" i="5" s="1"/>
  <c r="A218" i="5" s="1"/>
  <c r="A219" i="5" s="1"/>
  <c r="A222" i="5" s="1"/>
  <c r="A223" i="5" s="1"/>
  <c r="A224" i="5" s="1"/>
  <c r="A225" i="5" s="1"/>
  <c r="A226" i="5" s="1"/>
  <c r="Q447" i="5"/>
  <c r="L96" i="5"/>
  <c r="Q166" i="5"/>
  <c r="C472" i="3"/>
  <c r="C490" i="3" s="1"/>
  <c r="P95" i="5"/>
  <c r="P96" i="5" s="1"/>
  <c r="P141" i="5"/>
  <c r="C191" i="3"/>
  <c r="L146" i="5"/>
  <c r="H623" i="3"/>
  <c r="Q213" i="5"/>
  <c r="L52" i="5"/>
  <c r="C293" i="3"/>
  <c r="Q292" i="5"/>
  <c r="L297" i="5"/>
  <c r="L214" i="5"/>
  <c r="Q468" i="5"/>
  <c r="L187" i="5"/>
  <c r="Q75" i="5"/>
  <c r="P356" i="5"/>
  <c r="P358" i="5" s="1"/>
  <c r="L358" i="5"/>
  <c r="P468" i="5"/>
  <c r="P476" i="5" s="1"/>
  <c r="Q356" i="5"/>
  <c r="Q315" i="5"/>
  <c r="C529" i="3"/>
  <c r="P112" i="5"/>
  <c r="P113" i="5" s="1"/>
  <c r="P611" i="5"/>
  <c r="L113" i="5"/>
  <c r="V112" i="5" s="1"/>
  <c r="D331" i="3"/>
  <c r="P451" i="5"/>
  <c r="P333" i="5"/>
  <c r="P334" i="5" s="1"/>
  <c r="Q89" i="5"/>
  <c r="P133" i="5"/>
  <c r="A218" i="3"/>
  <c r="A219" i="3" s="1"/>
  <c r="A220" i="3" s="1"/>
  <c r="A221" i="3" s="1"/>
  <c r="A222" i="3" s="1"/>
  <c r="P158" i="5"/>
  <c r="Q443" i="5"/>
  <c r="L195" i="5"/>
  <c r="F623" i="3"/>
  <c r="P488" i="5"/>
  <c r="L58" i="5"/>
  <c r="P443" i="5"/>
  <c r="P444" i="5" s="1"/>
  <c r="Q191" i="5"/>
  <c r="L76" i="5"/>
  <c r="Q333" i="5"/>
  <c r="P296" i="5"/>
  <c r="P220" i="5"/>
  <c r="Q284" i="5"/>
  <c r="Q184" i="5"/>
  <c r="P607" i="5"/>
  <c r="C183" i="3"/>
  <c r="P394" i="5"/>
  <c r="P209" i="5"/>
  <c r="P211" i="5" s="1"/>
  <c r="Q209" i="5"/>
  <c r="P89" i="5"/>
  <c r="C313" i="3"/>
  <c r="C270" i="3"/>
  <c r="L211" i="5"/>
  <c r="O627" i="5"/>
  <c r="O628" i="5" s="1"/>
  <c r="P166" i="5"/>
  <c r="J627" i="5"/>
  <c r="P406" i="5"/>
  <c r="Q254" i="5"/>
  <c r="P145" i="5"/>
  <c r="P284" i="5"/>
  <c r="P286" i="5" s="1"/>
  <c r="L263" i="5"/>
  <c r="L317" i="5"/>
  <c r="U31" i="5"/>
  <c r="P67" i="5"/>
  <c r="P70" i="5" s="1"/>
  <c r="L70" i="5"/>
  <c r="Q67" i="5"/>
  <c r="Q555" i="5"/>
  <c r="P555" i="5"/>
  <c r="P556" i="5" s="1"/>
  <c r="L326" i="5"/>
  <c r="V325" i="5" s="1"/>
  <c r="C323" i="3"/>
  <c r="P149" i="5"/>
  <c r="P150" i="5" s="1"/>
  <c r="Q149" i="5"/>
  <c r="L150" i="5"/>
  <c r="Q57" i="5"/>
  <c r="C73" i="3"/>
  <c r="P425" i="5"/>
  <c r="C455" i="3"/>
  <c r="E623" i="3"/>
  <c r="P553" i="5"/>
  <c r="P439" i="5"/>
  <c r="Q427" i="5"/>
  <c r="P427" i="5"/>
  <c r="P434" i="5" s="1"/>
  <c r="P266" i="5"/>
  <c r="L93" i="5"/>
  <c r="Q91" i="5"/>
  <c r="P91" i="5"/>
  <c r="P93" i="5" s="1"/>
  <c r="Q316" i="5"/>
  <c r="P316" i="5"/>
  <c r="X623" i="3"/>
  <c r="Q262" i="5"/>
  <c r="L137" i="5"/>
  <c r="P135" i="5"/>
  <c r="P137" i="5" s="1"/>
  <c r="Q135" i="5"/>
  <c r="Q197" i="5"/>
  <c r="P197" i="5"/>
  <c r="P207" i="5" s="1"/>
  <c r="D585" i="3"/>
  <c r="C316" i="3"/>
  <c r="L319" i="5"/>
  <c r="V318" i="5" s="1"/>
  <c r="P311" i="5"/>
  <c r="P313" i="5" s="1"/>
  <c r="Q311" i="5"/>
  <c r="C349" i="3"/>
  <c r="L364" i="5"/>
  <c r="Q363" i="5"/>
  <c r="C585" i="3"/>
  <c r="Q588" i="5"/>
  <c r="P625" i="5"/>
  <c r="Q623" i="3"/>
  <c r="L623" i="3"/>
  <c r="D184" i="3"/>
  <c r="Q145" i="5"/>
  <c r="P493" i="5"/>
  <c r="P272" i="5"/>
  <c r="Q272" i="5"/>
  <c r="Q352" i="5"/>
  <c r="P62" i="5"/>
  <c r="P195" i="5"/>
  <c r="P184" i="5"/>
  <c r="P352" i="5"/>
  <c r="P353" i="5" s="1"/>
  <c r="P623" i="3"/>
  <c r="M627" i="5"/>
  <c r="M628" i="5" s="1"/>
  <c r="K627" i="5"/>
  <c r="H627" i="5"/>
  <c r="P292" i="5"/>
  <c r="Q375" i="5"/>
  <c r="P375" i="5"/>
  <c r="P379" i="5" s="1"/>
  <c r="Q15" i="5"/>
  <c r="P15" i="5"/>
  <c r="P31" i="5" s="1"/>
  <c r="L31" i="5"/>
  <c r="V30" i="5" s="1"/>
  <c r="Q180" i="5"/>
  <c r="P180" i="5"/>
  <c r="P84" i="5"/>
  <c r="N627" i="5"/>
  <c r="N628" i="5" s="1"/>
  <c r="P504" i="5"/>
  <c r="P40" i="5"/>
  <c r="L175" i="5"/>
  <c r="V174" i="5" s="1"/>
  <c r="C174" i="3"/>
  <c r="L533" i="5"/>
  <c r="P281" i="5"/>
  <c r="Q504" i="5"/>
  <c r="P110" i="5"/>
  <c r="M623" i="3"/>
  <c r="L373" i="5"/>
  <c r="P371" i="5"/>
  <c r="P373" i="5" s="1"/>
  <c r="L274" i="5"/>
  <c r="Q270" i="5"/>
  <c r="L123" i="5"/>
  <c r="V122" i="5" s="1"/>
  <c r="C123" i="3"/>
  <c r="W436" i="3"/>
  <c r="L222" i="5"/>
  <c r="V221" i="5" s="1"/>
  <c r="C223" i="3"/>
  <c r="L382" i="5"/>
  <c r="V381" i="5" s="1"/>
  <c r="C379" i="3"/>
  <c r="L233" i="5"/>
  <c r="V232" i="5" s="1"/>
  <c r="C256" i="3"/>
  <c r="C263" i="3" s="1"/>
  <c r="I627" i="5"/>
  <c r="Q379" i="5"/>
  <c r="P34" i="5"/>
  <c r="P35" i="5" s="1"/>
  <c r="Q34" i="5"/>
  <c r="P50" i="5"/>
  <c r="P599" i="5"/>
  <c r="Q607" i="5"/>
  <c r="Q309" i="5"/>
  <c r="L593" i="5"/>
  <c r="Q592" i="5"/>
  <c r="P592" i="5"/>
  <c r="P593" i="5" s="1"/>
  <c r="W134" i="3"/>
  <c r="L409" i="5"/>
  <c r="V408" i="5" s="1"/>
  <c r="C409" i="3"/>
  <c r="P588" i="5"/>
  <c r="W224" i="3"/>
  <c r="Q281" i="5"/>
  <c r="P548" i="5"/>
  <c r="C50" i="3"/>
  <c r="C622" i="3"/>
  <c r="Q466" i="5"/>
  <c r="L494" i="5"/>
  <c r="P309" i="5"/>
  <c r="P532" i="5"/>
  <c r="L35" i="5"/>
  <c r="V34" i="5" s="1"/>
  <c r="P577" i="5" l="1"/>
  <c r="P589" i="5" s="1"/>
  <c r="P274" i="5"/>
  <c r="P287" i="5" s="1"/>
  <c r="P317" i="5"/>
  <c r="Q494" i="5"/>
  <c r="V493" i="5"/>
  <c r="Q150" i="5"/>
  <c r="V149" i="5"/>
  <c r="Q195" i="5"/>
  <c r="V194" i="5"/>
  <c r="Q96" i="5"/>
  <c r="V95" i="5"/>
  <c r="Q434" i="5"/>
  <c r="V433" i="5"/>
  <c r="Q274" i="5"/>
  <c r="V273" i="5"/>
  <c r="Q70" i="5"/>
  <c r="V69" i="5"/>
  <c r="Q263" i="5"/>
  <c r="V262" i="5"/>
  <c r="Q211" i="5"/>
  <c r="V210" i="5"/>
  <c r="Q358" i="5"/>
  <c r="V357" i="5"/>
  <c r="Q146" i="5"/>
  <c r="V145" i="5"/>
  <c r="Q313" i="5"/>
  <c r="V312" i="5"/>
  <c r="Q207" i="5"/>
  <c r="V206" i="5"/>
  <c r="Q593" i="5"/>
  <c r="V592" i="5"/>
  <c r="Q93" i="5"/>
  <c r="V92" i="5"/>
  <c r="Q58" i="5"/>
  <c r="V57" i="5"/>
  <c r="Q214" i="5"/>
  <c r="V213" i="5"/>
  <c r="L53" i="5"/>
  <c r="V51" i="5"/>
  <c r="L589" i="5"/>
  <c r="V588" i="5" s="1"/>
  <c r="Q373" i="5"/>
  <c r="V372" i="5"/>
  <c r="Q137" i="5"/>
  <c r="V136" i="5"/>
  <c r="Q76" i="5"/>
  <c r="V75" i="5"/>
  <c r="Q297" i="5"/>
  <c r="V296" i="5"/>
  <c r="Q556" i="5"/>
  <c r="Q476" i="5"/>
  <c r="V475" i="5"/>
  <c r="Q334" i="5"/>
  <c r="V333" i="5"/>
  <c r="Q533" i="5"/>
  <c r="V532" i="5"/>
  <c r="Q364" i="5"/>
  <c r="V363" i="5"/>
  <c r="Q317" i="5"/>
  <c r="V316" i="5"/>
  <c r="Q444" i="5"/>
  <c r="V443" i="5"/>
  <c r="Q286" i="5"/>
  <c r="V285" i="5"/>
  <c r="Q353" i="5"/>
  <c r="V352" i="5"/>
  <c r="Q187" i="5"/>
  <c r="V186" i="5"/>
  <c r="Q589" i="5"/>
  <c r="P457" i="5"/>
  <c r="P458" i="5" s="1"/>
  <c r="Q457" i="5"/>
  <c r="L458" i="5"/>
  <c r="V457" i="5" s="1"/>
  <c r="A231" i="5"/>
  <c r="A232" i="5" s="1"/>
  <c r="A233" i="5" s="1"/>
  <c r="P52" i="5"/>
  <c r="P53" i="5" s="1"/>
  <c r="P54" i="5" s="1"/>
  <c r="L287" i="5"/>
  <c r="A227" i="3"/>
  <c r="A228" i="3" s="1"/>
  <c r="A229" i="3" s="1"/>
  <c r="C224" i="3"/>
  <c r="P146" i="5"/>
  <c r="Q52" i="5"/>
  <c r="P297" i="5"/>
  <c r="C331" i="3"/>
  <c r="P459" i="5"/>
  <c r="C283" i="3"/>
  <c r="D623" i="3"/>
  <c r="P77" i="5"/>
  <c r="P533" i="5"/>
  <c r="P494" i="5"/>
  <c r="P187" i="5"/>
  <c r="L77" i="5"/>
  <c r="C436" i="3"/>
  <c r="C134" i="3"/>
  <c r="Q319" i="5"/>
  <c r="P319" i="5"/>
  <c r="P320" i="5" s="1"/>
  <c r="L320" i="5"/>
  <c r="V319" i="5" s="1"/>
  <c r="P326" i="5"/>
  <c r="P327" i="5" s="1"/>
  <c r="L327" i="5"/>
  <c r="Q326" i="5"/>
  <c r="Q31" i="5"/>
  <c r="Q175" i="5"/>
  <c r="L178" i="5"/>
  <c r="V177" i="5" s="1"/>
  <c r="P175" i="5"/>
  <c r="P178" i="5" s="1"/>
  <c r="C184" i="3"/>
  <c r="Q409" i="5"/>
  <c r="P409" i="5"/>
  <c r="P413" i="5" s="1"/>
  <c r="P440" i="5" s="1"/>
  <c r="L413" i="5"/>
  <c r="V412" i="5" s="1"/>
  <c r="P626" i="5"/>
  <c r="Q233" i="5"/>
  <c r="P233" i="5"/>
  <c r="P260" i="5" s="1"/>
  <c r="P267" i="5" s="1"/>
  <c r="L260" i="5"/>
  <c r="V259" i="5" s="1"/>
  <c r="C380" i="3"/>
  <c r="P222" i="5"/>
  <c r="P227" i="5" s="1"/>
  <c r="P228" i="5" s="1"/>
  <c r="Q222" i="5"/>
  <c r="L227" i="5"/>
  <c r="V226" i="5" s="1"/>
  <c r="Q123" i="5"/>
  <c r="P123" i="5"/>
  <c r="P127" i="5" s="1"/>
  <c r="P138" i="5" s="1"/>
  <c r="L127" i="5"/>
  <c r="V126" i="5" s="1"/>
  <c r="Q35" i="5"/>
  <c r="W623" i="3"/>
  <c r="L626" i="5"/>
  <c r="Q382" i="5"/>
  <c r="P382" i="5"/>
  <c r="P383" i="5" s="1"/>
  <c r="P384" i="5" s="1"/>
  <c r="L383" i="5"/>
  <c r="V382" i="5" s="1"/>
  <c r="A234" i="5" l="1"/>
  <c r="A235" i="5" s="1"/>
  <c r="A236" i="5" s="1"/>
  <c r="A237" i="5" s="1"/>
  <c r="A238" i="5" s="1"/>
  <c r="A239" i="5" s="1"/>
  <c r="A240" i="5" s="1"/>
  <c r="A241" i="5" s="1"/>
  <c r="A242" i="5" s="1"/>
  <c r="A235" i="3"/>
  <c r="A236" i="3" s="1"/>
  <c r="A237" i="3" s="1"/>
  <c r="A238" i="3" s="1"/>
  <c r="Q626" i="5"/>
  <c r="V625" i="5"/>
  <c r="Q327" i="5"/>
  <c r="V326" i="5"/>
  <c r="L188" i="5"/>
  <c r="V187" i="5" s="1"/>
  <c r="Q53" i="5"/>
  <c r="V52" i="5"/>
  <c r="L54" i="5"/>
  <c r="V53" i="5" s="1"/>
  <c r="L267" i="5"/>
  <c r="V266" i="5" s="1"/>
  <c r="Q77" i="5"/>
  <c r="V76" i="5"/>
  <c r="Q287" i="5"/>
  <c r="V286" i="5"/>
  <c r="Q458" i="5"/>
  <c r="L459" i="5"/>
  <c r="C623" i="3"/>
  <c r="C624" i="3" s="1"/>
  <c r="W627" i="5" s="1"/>
  <c r="P335" i="5"/>
  <c r="L335" i="5"/>
  <c r="P188" i="5"/>
  <c r="Q320" i="5"/>
  <c r="Q178" i="5"/>
  <c r="Q383" i="5"/>
  <c r="L384" i="5"/>
  <c r="Q127" i="5"/>
  <c r="L138" i="5"/>
  <c r="Q227" i="5"/>
  <c r="L228" i="5"/>
  <c r="L440" i="5"/>
  <c r="Q413" i="5"/>
  <c r="Q260" i="5"/>
  <c r="A239" i="3" l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8" i="3" s="1"/>
  <c r="A261" i="3" s="1"/>
  <c r="A266" i="3" s="1"/>
  <c r="A267" i="3" s="1"/>
  <c r="A268" i="3" s="1"/>
  <c r="A269" i="3" s="1"/>
  <c r="A272" i="3" s="1"/>
  <c r="A273" i="3" s="1"/>
  <c r="A274" i="3" s="1"/>
  <c r="A275" i="3" s="1"/>
  <c r="A276" i="3" s="1"/>
  <c r="A279" i="3" s="1"/>
  <c r="A280" i="3" s="1"/>
  <c r="A281" i="3" s="1"/>
  <c r="A286" i="3" s="1"/>
  <c r="A287" i="3" s="1"/>
  <c r="A290" i="3" s="1"/>
  <c r="A291" i="3" s="1"/>
  <c r="A296" i="3" s="1"/>
  <c r="A297" i="3" s="1"/>
  <c r="A298" i="3" s="1"/>
  <c r="A299" i="3" s="1"/>
  <c r="A300" i="3" s="1"/>
  <c r="A301" i="3" s="1"/>
  <c r="A302" i="3" s="1"/>
  <c r="A303" i="3" s="1"/>
  <c r="A304" i="3" s="1"/>
  <c r="A307" i="3" s="1"/>
  <c r="A308" i="3" s="1"/>
  <c r="A311" i="3" s="1"/>
  <c r="A312" i="3" s="1"/>
  <c r="A315" i="3" s="1"/>
  <c r="A318" i="3" s="1"/>
  <c r="A319" i="3" s="1"/>
  <c r="A322" i="3" s="1"/>
  <c r="A325" i="3" s="1"/>
  <c r="A328" i="3" s="1"/>
  <c r="A329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52" i="3" s="1"/>
  <c r="A353" i="3" s="1"/>
  <c r="A356" i="3" s="1"/>
  <c r="A359" i="3" s="1"/>
  <c r="A362" i="3" s="1"/>
  <c r="A363" i="3" s="1"/>
  <c r="A364" i="3" s="1"/>
  <c r="A367" i="3" s="1"/>
  <c r="A368" i="3" s="1"/>
  <c r="A371" i="3" s="1"/>
  <c r="A372" i="3" s="1"/>
  <c r="A373" i="3" s="1"/>
  <c r="A374" i="3" s="1"/>
  <c r="A377" i="3" s="1"/>
  <c r="A378" i="3" s="1"/>
  <c r="A383" i="3" s="1"/>
  <c r="A384" i="3" s="1"/>
  <c r="A385" i="3" s="1"/>
  <c r="A386" i="3" s="1"/>
  <c r="A387" i="3" s="1"/>
  <c r="A388" i="3" s="1"/>
  <c r="A389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4" i="3" s="1"/>
  <c r="A405" i="3" s="1"/>
  <c r="A406" i="3" s="1"/>
  <c r="A407" i="3" s="1"/>
  <c r="A408" i="3" s="1"/>
  <c r="A411" i="3" s="1"/>
  <c r="A412" i="3" s="1"/>
  <c r="A413" i="3" s="1"/>
  <c r="A414" i="3" s="1"/>
  <c r="A417" i="3" s="1"/>
  <c r="A418" i="3" s="1"/>
  <c r="A419" i="3" s="1"/>
  <c r="A420" i="3" s="1"/>
  <c r="A423" i="3" s="1"/>
  <c r="A424" i="3" s="1"/>
  <c r="A425" i="3" s="1"/>
  <c r="A426" i="3" s="1"/>
  <c r="A427" i="3" s="1"/>
  <c r="A428" i="3" s="1"/>
  <c r="A429" i="3" s="1"/>
  <c r="A432" i="3" s="1"/>
  <c r="A433" i="3" s="1"/>
  <c r="A434" i="3" s="1"/>
  <c r="A439" i="3" s="1"/>
  <c r="A442" i="3" s="1"/>
  <c r="A445" i="3" s="1"/>
  <c r="A446" i="3" s="1"/>
  <c r="A449" i="3" s="1"/>
  <c r="A450" i="3" s="1"/>
  <c r="Q188" i="5"/>
  <c r="A243" i="5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2" i="5" s="1"/>
  <c r="A265" i="5" s="1"/>
  <c r="A270" i="5" s="1"/>
  <c r="A271" i="5" s="1"/>
  <c r="A272" i="5" s="1"/>
  <c r="A273" i="5" s="1"/>
  <c r="A276" i="5" s="1"/>
  <c r="A277" i="5" s="1"/>
  <c r="P627" i="5"/>
  <c r="Q267" i="5"/>
  <c r="Q138" i="5"/>
  <c r="V137" i="5"/>
  <c r="Q440" i="5"/>
  <c r="V439" i="5"/>
  <c r="Q335" i="5"/>
  <c r="V334" i="5"/>
  <c r="L627" i="5"/>
  <c r="V627" i="5" s="1"/>
  <c r="Q228" i="5"/>
  <c r="V227" i="5"/>
  <c r="Q54" i="5"/>
  <c r="Q384" i="5"/>
  <c r="V383" i="5"/>
  <c r="Q459" i="5"/>
  <c r="V458" i="5"/>
  <c r="C625" i="3"/>
  <c r="Q627" i="5" l="1"/>
  <c r="V626" i="5"/>
  <c r="A278" i="5"/>
  <c r="A279" i="5" s="1"/>
  <c r="A280" i="5" s="1"/>
  <c r="A283" i="5" s="1"/>
  <c r="A284" i="5" s="1"/>
  <c r="A285" i="5" s="1"/>
  <c r="A290" i="5" s="1"/>
  <c r="A291" i="5" s="1"/>
  <c r="A294" i="5" s="1"/>
  <c r="A295" i="5" s="1"/>
  <c r="A300" i="5" s="1"/>
  <c r="A301" i="5" s="1"/>
  <c r="A302" i="5" s="1"/>
  <c r="A303" i="5" s="1"/>
  <c r="A304" i="5" s="1"/>
  <c r="A305" i="5" s="1"/>
  <c r="A306" i="5" s="1"/>
  <c r="A307" i="5" s="1"/>
  <c r="A308" i="5" s="1"/>
  <c r="A311" i="5" s="1"/>
  <c r="A312" i="5" s="1"/>
  <c r="A315" i="5" s="1"/>
  <c r="A316" i="5" s="1"/>
  <c r="A319" i="5" s="1"/>
  <c r="A451" i="3"/>
  <c r="L628" i="5"/>
  <c r="V628" i="5" l="1"/>
  <c r="U628" i="5"/>
  <c r="A322" i="5"/>
  <c r="A323" i="5" s="1"/>
  <c r="A326" i="5" s="1"/>
  <c r="A329" i="5" s="1"/>
  <c r="A332" i="5" s="1"/>
  <c r="A333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6" i="5" s="1"/>
  <c r="A357" i="5" s="1"/>
  <c r="A360" i="5" s="1"/>
  <c r="A363" i="5" s="1"/>
  <c r="A366" i="5" s="1"/>
  <c r="A367" i="5" s="1"/>
  <c r="A368" i="5" s="1"/>
  <c r="A371" i="5" s="1"/>
  <c r="A372" i="5" s="1"/>
  <c r="A375" i="5" s="1"/>
  <c r="A376" i="5" s="1"/>
  <c r="A377" i="5" s="1"/>
  <c r="A378" i="5" s="1"/>
  <c r="A381" i="5" s="1"/>
  <c r="A382" i="5" s="1"/>
  <c r="A387" i="5" s="1"/>
  <c r="A388" i="5" s="1"/>
  <c r="A389" i="5" s="1"/>
  <c r="A390" i="5" s="1"/>
  <c r="A391" i="5" s="1"/>
  <c r="A392" i="5" s="1"/>
  <c r="A393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8" i="5" s="1"/>
  <c r="A409" i="5" s="1"/>
  <c r="A410" i="5" s="1"/>
  <c r="A411" i="5" s="1"/>
  <c r="A412" i="5" s="1"/>
  <c r="A415" i="5" s="1"/>
  <c r="A416" i="5" s="1"/>
  <c r="A417" i="5" s="1"/>
  <c r="A418" i="5" s="1"/>
  <c r="A421" i="5" s="1"/>
  <c r="A422" i="5" s="1"/>
  <c r="A423" i="5" s="1"/>
  <c r="A424" i="5" s="1"/>
  <c r="A452" i="3"/>
  <c r="A453" i="3" s="1"/>
  <c r="A458" i="3" s="1"/>
  <c r="A461" i="3" s="1"/>
  <c r="A464" i="3" s="1"/>
  <c r="A465" i="3" s="1"/>
  <c r="A466" i="3" s="1"/>
  <c r="A467" i="3" s="1"/>
  <c r="A468" i="3" s="1"/>
  <c r="A469" i="3" s="1"/>
  <c r="A470" i="3" s="1"/>
  <c r="A471" i="3" s="1"/>
  <c r="A474" i="3" s="1"/>
  <c r="A477" i="3" s="1"/>
  <c r="A478" i="3" s="1"/>
  <c r="A479" i="3" s="1"/>
  <c r="A480" i="3" s="1"/>
  <c r="A481" i="3" s="1"/>
  <c r="A482" i="3" s="1"/>
  <c r="A483" i="3" s="1"/>
  <c r="A486" i="3" s="1"/>
  <c r="A487" i="3" s="1"/>
  <c r="A488" i="3" s="1"/>
  <c r="A493" i="3" s="1"/>
  <c r="A496" i="3" s="1"/>
  <c r="A497" i="3" s="1"/>
  <c r="A498" i="3" s="1"/>
  <c r="A499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7" i="3" s="1"/>
  <c r="A548" i="3" s="1"/>
  <c r="A551" i="3" s="1"/>
  <c r="A554" i="3" s="1"/>
  <c r="A557" i="3" s="1"/>
  <c r="A558" i="3" s="1"/>
  <c r="A559" i="3" s="1"/>
  <c r="A560" i="3" s="1"/>
  <c r="A561" i="3" s="1"/>
  <c r="A562" i="3" s="1"/>
  <c r="A563" i="3" s="1"/>
  <c r="P628" i="5"/>
  <c r="A564" i="3" l="1"/>
  <c r="A565" i="3" s="1"/>
  <c r="A566" i="3" s="1"/>
  <c r="A567" i="3" s="1"/>
  <c r="A568" i="3" s="1"/>
  <c r="A569" i="3" s="1"/>
  <c r="A570" i="3" s="1"/>
  <c r="A571" i="3" s="1"/>
  <c r="A572" i="3" s="1"/>
  <c r="A575" i="3" s="1"/>
  <c r="A576" i="3" s="1"/>
  <c r="A577" i="3" s="1"/>
  <c r="A578" i="3" s="1"/>
  <c r="A579" i="3" s="1"/>
  <c r="A580" i="3" s="1"/>
  <c r="A581" i="3" s="1"/>
  <c r="A582" i="3" s="1"/>
  <c r="A583" i="3" s="1"/>
  <c r="A588" i="3" s="1"/>
  <c r="A591" i="3" s="1"/>
  <c r="A592" i="3" s="1"/>
  <c r="A593" i="3" s="1"/>
  <c r="A594" i="3" s="1"/>
  <c r="A597" i="3" s="1"/>
  <c r="A598" i="3" s="1"/>
  <c r="A599" i="3" s="1"/>
  <c r="A600" i="3" s="1"/>
  <c r="A601" i="3" s="1"/>
  <c r="A602" i="3" s="1"/>
  <c r="A605" i="3" s="1"/>
  <c r="A606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427" i="5"/>
  <c r="A428" i="5" s="1"/>
  <c r="A429" i="5" s="1"/>
  <c r="A430" i="5" s="1"/>
  <c r="A431" i="5" s="1"/>
  <c r="A432" i="5" s="1"/>
  <c r="A433" i="5" s="1"/>
  <c r="A436" i="5" s="1"/>
  <c r="A437" i="5" s="1"/>
  <c r="A438" i="5" s="1"/>
  <c r="A443" i="5" s="1"/>
  <c r="A446" i="5" s="1"/>
  <c r="A449" i="5" s="1"/>
  <c r="A450" i="5" s="1"/>
  <c r="A453" i="5" s="1"/>
  <c r="A454" i="5" s="1"/>
  <c r="A455" i="5" s="1"/>
  <c r="A456" i="5" l="1"/>
  <c r="A457" i="5" l="1"/>
  <c r="A462" i="5" s="1"/>
  <c r="A465" i="5" s="1"/>
  <c r="A468" i="5" s="1"/>
  <c r="A469" i="5" s="1"/>
  <c r="A470" i="5" s="1"/>
  <c r="A471" i="5" s="1"/>
  <c r="A472" i="5" s="1"/>
  <c r="A473" i="5" s="1"/>
  <c r="A474" i="5" s="1"/>
  <c r="A475" i="5" s="1"/>
  <c r="A478" i="5" s="1"/>
  <c r="A481" i="5" s="1"/>
  <c r="A482" i="5" s="1"/>
  <c r="A483" i="5" s="1"/>
  <c r="A484" i="5" s="1"/>
  <c r="A485" i="5" s="1"/>
  <c r="A486" i="5" s="1"/>
  <c r="A487" i="5" s="1"/>
  <c r="A490" i="5" s="1"/>
  <c r="A491" i="5" s="1"/>
  <c r="A492" i="5" s="1"/>
  <c r="A497" i="5" s="1"/>
  <c r="A500" i="5" s="1"/>
  <c r="A501" i="5" s="1"/>
  <c r="A502" i="5" s="1"/>
  <c r="A503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51" i="5" s="1"/>
  <c r="A552" i="5" s="1"/>
  <c r="A555" i="5" s="1"/>
  <c r="A558" i="5" l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9" i="5" s="1"/>
  <c r="A580" i="5" s="1"/>
  <c r="A581" i="5" s="1"/>
  <c r="A582" i="5" s="1"/>
  <c r="A583" i="5" s="1"/>
  <c r="A584" i="5" s="1"/>
  <c r="A585" i="5" s="1"/>
  <c r="A586" i="5" s="1"/>
  <c r="A587" i="5" s="1"/>
  <c r="A592" i="5" s="1"/>
  <c r="A595" i="5" s="1"/>
  <c r="A596" i="5" s="1"/>
  <c r="A597" i="5" s="1"/>
  <c r="A598" i="5" s="1"/>
  <c r="A601" i="5" s="1"/>
  <c r="A602" i="5" s="1"/>
  <c r="A603" i="5" s="1"/>
  <c r="A604" i="5" s="1"/>
  <c r="A605" i="5" s="1"/>
  <c r="A606" i="5" s="1"/>
  <c r="A609" i="5" s="1"/>
  <c r="A610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</calcChain>
</file>

<file path=xl/sharedStrings.xml><?xml version="1.0" encoding="utf-8"?>
<sst xmlns="http://schemas.openxmlformats.org/spreadsheetml/2006/main" count="3372" uniqueCount="613">
  <si>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</si>
  <si>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</si>
  <si>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</si>
  <si>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</si>
  <si>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</si>
  <si>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</si>
  <si>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</si>
  <si>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</si>
  <si>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</si>
  <si>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</si>
  <si>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</si>
  <si>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</si>
  <si>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</si>
  <si>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</si>
  <si>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</si>
  <si>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</si>
  <si>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Волховский муниципальный район</t>
  </si>
  <si>
    <t>Муниципальное образование Бережковское сельское поселение</t>
  </si>
  <si>
    <t>Итого по муниципальному образованию</t>
  </si>
  <si>
    <t>Муниципальное образование Город Волхов</t>
  </si>
  <si>
    <t>Муниципальное образование Вындиноостровское сельское поселение</t>
  </si>
  <si>
    <t>Дер. Вындин Остров, ул. Центральная, д. 5</t>
  </si>
  <si>
    <t>Дер. Вындин Остров, ул. Центральная, д. 7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</si>
  <si>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</si>
  <si>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</si>
  <si>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Дер. Кисельня, ул. Центральная, д. 1</t>
  </si>
  <si>
    <t>Дер. Кисельня, ул. Центральная, д. 2</t>
  </si>
  <si>
    <t>Дер. Кисельня, ул. Центральная, д. 3</t>
  </si>
  <si>
    <t>Дер. Кисельня, ул. Центральная, д. 4</t>
  </si>
  <si>
    <t>Дер. Кисельня, ул. Центральная, д. 5</t>
  </si>
  <si>
    <t>Дер. Кисельня, ул. Центральная, д. 6</t>
  </si>
  <si>
    <t>Дер. Кисельня, ул. Центральная, д. 7</t>
  </si>
  <si>
    <t>Дер. Кисельня, ул. Центральная, д. 8</t>
  </si>
  <si>
    <t>Дер. Кисельня, ул. Центральная, д. 9</t>
  </si>
  <si>
    <t>Муниципальное образование Колчановское сельское поселение</t>
  </si>
  <si>
    <t>Муниципальное образование Новоладожское городское поселение</t>
  </si>
  <si>
    <t>Муниципальное образование Свирицкое сельское поселение</t>
  </si>
  <si>
    <t>Муниципальное образование Хваловское сельское поселение</t>
  </si>
  <si>
    <t>Дер. Хвалово, д. 1</t>
  </si>
  <si>
    <t>Дер. Хвалово, д. 21</t>
  </si>
  <si>
    <t>Итого по Волховскому муниципальному району</t>
  </si>
  <si>
    <t>Выборгский район</t>
  </si>
  <si>
    <t>Муниципальное образование Выборгское городское поселение</t>
  </si>
  <si>
    <t>Муниципальное образование Каменногорское городское поселение</t>
  </si>
  <si>
    <t>Муниципальное образование Первомайское сельское поселение</t>
  </si>
  <si>
    <t>Пос. Первомайское, ул. Ленина, д. 44</t>
  </si>
  <si>
    <t>Пос. Первомайское, ул. Ленина, д. 61</t>
  </si>
  <si>
    <t>Муниципальное образование Светогорское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</si>
  <si>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</si>
  <si>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</si>
  <si>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Кингисеппский муниципальный район</t>
  </si>
  <si>
    <t>Муниципальное образование Кингисеппское городское поселение</t>
  </si>
  <si>
    <t>Муниципальное образование Город Ивангород</t>
  </si>
  <si>
    <t>Муниципальное образование Пустомержское сельское поселение</t>
  </si>
  <si>
    <t>Итого по Кингисеппскому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</si>
  <si>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</si>
  <si>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</si>
  <si>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Муниципальное образование Кусинское сельское поселение</t>
  </si>
  <si>
    <t>Дер. Кусино, ул. Центральная, д. 6</t>
  </si>
  <si>
    <t>Итого по Киришскому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</si>
  <si>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</si>
  <si>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</si>
  <si>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Г. Лодейное Поле, просп. Гагарина, д. 12</t>
  </si>
  <si>
    <t>Г. Лодейное Поле, просп. Гагарина, д. 8, кор. 2</t>
  </si>
  <si>
    <t>Г. Лодейное Поле, ул. Пограничная, д. 13, кор. 1</t>
  </si>
  <si>
    <t>Итого по Лодейнопольскому муниципальному району</t>
  </si>
  <si>
    <t>Ломоносовский муниципальный район</t>
  </si>
  <si>
    <t>Муниципальное образование Большеижорское городское поселение</t>
  </si>
  <si>
    <t>Муниципальное образование Копорское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</si>
  <si>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</si>
  <si>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</si>
  <si>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Волошовское сельское поселение</t>
  </si>
  <si>
    <t>Муниципальное образование Дзержинское сельское поселение</t>
  </si>
  <si>
    <t>Пос. Дзержинского, ул. Лужская, д. 3</t>
  </si>
  <si>
    <t>Пос. Дзержинского, ул. Центральная, д. 10</t>
  </si>
  <si>
    <t>Пос. Дзержинского, ул. Центральная, д. 3</t>
  </si>
  <si>
    <t>Муниципальное образование Лужское городское поселение</t>
  </si>
  <si>
    <t>Муниципальное образование Мшинсское сельское поселение</t>
  </si>
  <si>
    <t>Муниципальное образование Оредежское сельское поселение</t>
  </si>
  <si>
    <t>Пос. Оредеж, ул. Ленина, д. 10</t>
  </si>
  <si>
    <t>Пос. Оредеж, ул. Железнодорожная, д. 2</t>
  </si>
  <si>
    <t>Пос. Оредеж, ул. Железнодорожная, д. 1</t>
  </si>
  <si>
    <t>Муниципальное образование Скребловское сельское поселение</t>
  </si>
  <si>
    <t>Муниципальное образование Ям-Тесовское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</si>
  <si>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</si>
  <si>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</si>
  <si>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Винницкое сельское поселение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</si>
  <si>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</si>
  <si>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</si>
  <si>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</si>
  <si>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</si>
  <si>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Красноозерное сельское поселение</t>
  </si>
  <si>
    <t>Муниципальное образование Ларионовское сельское поселение</t>
  </si>
  <si>
    <t>Муниципальное образование Приозерское городское поселение</t>
  </si>
  <si>
    <t>Муниципальное образование Раздольевское сельское поселение</t>
  </si>
  <si>
    <t>Муниципальное образование Ромашкинское сельское поселение</t>
  </si>
  <si>
    <t>Муниципальное образование Сосновское сельское поселение</t>
  </si>
  <si>
    <t>Пос. Сосново, ул. Связи, д. 5</t>
  </si>
  <si>
    <t>Итого по Приозерскому муниципальному району</t>
  </si>
  <si>
    <t>Сланцевский муниципальный район</t>
  </si>
  <si>
    <t>Муниципальное образование Выскатское сельское поселение</t>
  </si>
  <si>
    <t>Дер. Выскатка, ул. Садовая, д. 28</t>
  </si>
  <si>
    <t>Муниципальное образование Гостицкое сельское поселение</t>
  </si>
  <si>
    <t>Муниципальное образование Сланцевское городское поселение</t>
  </si>
  <si>
    <t>Итого по Сланцевскому муниципальному району</t>
  </si>
  <si>
    <t>Муниципальное образование Сосновоборгский городской округ</t>
  </si>
  <si>
    <t>Г. Никольское, ул. Комсомольская, д. 16</t>
  </si>
  <si>
    <t>Г. Никольское, ул. Комсомольская, д. 18</t>
  </si>
  <si>
    <t>Муниципальное образование Тосненское городское поселение</t>
  </si>
  <si>
    <t>Муниципальное образование Ульяновское сельское поселение</t>
  </si>
  <si>
    <t>Муниципальное образование Форносовское сельское поселение</t>
  </si>
  <si>
    <t>Итого по Тосненскому району</t>
  </si>
  <si>
    <t>ИТОГО по Ленинградской области</t>
  </si>
  <si>
    <t>Бокситогорский муниципальный район</t>
  </si>
  <si>
    <t>Муниципальное образование Бокситогорское городское поселение</t>
  </si>
  <si>
    <t>Г. Бокситогорск, ул. Комсомольская, д. 7</t>
  </si>
  <si>
    <t>Г. Бокситогорск, ул. Садовая, д. 20</t>
  </si>
  <si>
    <t>Г. Бокситогорск, ул. Садовая, д. 22</t>
  </si>
  <si>
    <t>Г. Бокситогорск, ул. Социалистическая, д. 15</t>
  </si>
  <si>
    <t>Г. Бокситогорск, ул. Комсомольская, д. 13/20</t>
  </si>
  <si>
    <t>Г. Бокситогорск, ул. Школьная, д. 14/13</t>
  </si>
  <si>
    <t>Муниципальное образование Борское сельское поселение</t>
  </si>
  <si>
    <t>Муниципальное образование Климовское сельское поселение</t>
  </si>
  <si>
    <t>Муниципальное образование Самойловское сельское поселение</t>
  </si>
  <si>
    <t>Итого по Бокситогорскому муниципальному району</t>
  </si>
  <si>
    <t>Волосовский муниципальный район</t>
  </si>
  <si>
    <t>Муниципальное образование Бегуницкое сельское поселение</t>
  </si>
  <si>
    <t>Муниципальное образование Волосовское городское поселение</t>
  </si>
  <si>
    <t>Муниципальное образование Изварское сельское поселение</t>
  </si>
  <si>
    <t>Муниципальное образование Калитинское сельское поселение</t>
  </si>
  <si>
    <t>Муниципальное образование Рабитицкое сельское поселение</t>
  </si>
  <si>
    <t>Муниципальное образовнаие Сабское сельское поселение</t>
  </si>
  <si>
    <t>Итого по Волосовскому муниципальному району</t>
  </si>
  <si>
    <t>Всеволожский муниципальный район</t>
  </si>
  <si>
    <t>Муниципальное образование Агалатовское городское поселение</t>
  </si>
  <si>
    <t>Муниципальное образование Город Всеволожск</t>
  </si>
  <si>
    <t>Муниципальное образование Дубровское городское поселение</t>
  </si>
  <si>
    <t>Муниципальное образование Морозовское городское поселение</t>
  </si>
  <si>
    <t>Муниципальное образование Свердловское городское поселение</t>
  </si>
  <si>
    <t>Муниципальное образование "Сертолово"</t>
  </si>
  <si>
    <t>Муниципальное образование Токсовское городское поселение</t>
  </si>
  <si>
    <t>Итого по Всеволожскому муниципальному району</t>
  </si>
  <si>
    <t>Гатчинский мунициальный район</t>
  </si>
  <si>
    <t>Муниципальное образование Город Гатчина</t>
  </si>
  <si>
    <t>Г. Гатчина, ул. Гагарина, д. 24</t>
  </si>
  <si>
    <t>Г. Гатчина, ул. Горького, д. 19</t>
  </si>
  <si>
    <t>Г. Гатчина, ул. Горького, д. 5</t>
  </si>
  <si>
    <t>Г. Гатчина, ул. Достоевского, д. 17</t>
  </si>
  <si>
    <t>Г. Гатчина, ул. Урицкого, д. 34</t>
  </si>
  <si>
    <t>Г. Гатчина, ул. Филиппова, д. 1</t>
  </si>
  <si>
    <t>Г. Гатчина, ул. Хохлова, д. 3</t>
  </si>
  <si>
    <t>Г. Гатчина, ул. Хохлова, д. 31</t>
  </si>
  <si>
    <t>Г. Гатчина, ул. Хохлова, д. 33</t>
  </si>
  <si>
    <t>Муниципальное образование Дружногорское городское поселение</t>
  </si>
  <si>
    <t>Муниципальное образование Город Коммунар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</si>
  <si>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</si>
  <si>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</si>
  <si>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</si>
  <si>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Мгинское городское поселение</t>
  </si>
  <si>
    <t>Муниципальное образование Назиевское городское поселение</t>
  </si>
  <si>
    <t>Муниципальное образование Отрадненское городское поселение</t>
  </si>
  <si>
    <t>Муниципальное образование Павловское городское поселение</t>
  </si>
  <si>
    <t>Муниципальное образование Путиловское сельское поселение</t>
  </si>
  <si>
    <t>Муниципальное образование Суховское  сельское поселение</t>
  </si>
  <si>
    <t>Муниципальное образование Шлиссельсбургское городское поселение</t>
  </si>
  <si>
    <t>Итого по Кировскому муниципальному району</t>
  </si>
  <si>
    <t>Тихвинский муниципальный район</t>
  </si>
  <si>
    <t>Муниципальное образование Ганьковское сельское поселение</t>
  </si>
  <si>
    <t>Муниципальное образование Мелегежское сельское поселение</t>
  </si>
  <si>
    <t>Дер. Мелегежская Горка, д. 11</t>
  </si>
  <si>
    <t>Муниципальное образование Тихвинское городское поселение</t>
  </si>
  <si>
    <t>Муниципальное образование Шугозерское сельское поселение</t>
  </si>
  <si>
    <t>Пос. Шугозеро, ул. Школьная, д. 15</t>
  </si>
  <si>
    <t>Пос. Шугозеро, ул. Школьная, д. 22</t>
  </si>
  <si>
    <t>Итого по Тихвинскому муниципальному району</t>
  </si>
  <si>
    <t>Итого по Ленинградской области со строительным контролем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</si>
  <si>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</si>
  <si>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</si>
  <si>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</si>
  <si>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</si>
  <si>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</si>
  <si>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</si>
  <si>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</si>
  <si>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</si>
  <si>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</si>
  <si>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Муниципальное образование Гостилицкое сельское поселение</t>
  </si>
  <si>
    <t>Дер. Гостилицы, ул. Школьная, д. 12</t>
  </si>
  <si>
    <t>Муниципальное образование Город Пикалево</t>
  </si>
  <si>
    <t>Муниципальное образование Лебяженское городское поселение</t>
  </si>
  <si>
    <t>Муниципальное образование Лаголовское сельское поселение</t>
  </si>
  <si>
    <t>Г. Гатчина, ул. Заводская, д. 1</t>
  </si>
  <si>
    <t>Г. Бокситогорск, ул. Садовая, д. 12/7</t>
  </si>
  <si>
    <t>УТВЕРЖДЕН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</si>
  <si>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</si>
  <si>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</si>
  <si>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</si>
  <si>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</si>
  <si>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</si>
  <si>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</si>
  <si>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</si>
  <si>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</si>
  <si>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</si>
  <si>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</si>
  <si>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</si>
  <si>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</si>
  <si>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</si>
  <si>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</si>
  <si>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</si>
  <si>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</si>
  <si>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</si>
  <si>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</si>
  <si>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</si>
  <si>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</si>
  <si>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</si>
  <si>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</si>
  <si>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</si>
  <si>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</si>
  <si>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Г. Бокситогорск, ул. Садовая, д. 16/19</t>
  </si>
  <si>
    <t>Прочие</t>
  </si>
  <si>
    <t>Кирпич</t>
  </si>
  <si>
    <t>Г. Бокситогорск, ул. Комсомольская, д. 26/11</t>
  </si>
  <si>
    <t>Г. Бокситогорск, ул. Комсомольская, д. 10</t>
  </si>
  <si>
    <t>х</t>
  </si>
  <si>
    <t>Панель</t>
  </si>
  <si>
    <t>панель</t>
  </si>
  <si>
    <t xml:space="preserve"> </t>
  </si>
  <si>
    <t>до 1917</t>
  </si>
  <si>
    <t xml:space="preserve">до 1917 </t>
  </si>
  <si>
    <t>Муниципальное образование Город Выборг</t>
  </si>
  <si>
    <t>Гатчинский муниципальный район</t>
  </si>
  <si>
    <t>7-9</t>
  </si>
  <si>
    <t>РО</t>
  </si>
  <si>
    <t>570,3,</t>
  </si>
  <si>
    <t>Итого по Сосоновоборскому городскому округу</t>
  </si>
  <si>
    <t>Итого по Ленинградской области</t>
  </si>
  <si>
    <t>I. Перечень многоквратирных домов, которые подлежат капитальному ремонту в 2016 году</t>
  </si>
  <si>
    <t>до 1940</t>
  </si>
  <si>
    <t>Г. Бокситогорск, ул. Социалистическая, д. 1</t>
  </si>
  <si>
    <t>Г. Бокситогорск, ш. Дымское, д. 4</t>
  </si>
  <si>
    <t>Дер. Бор, д. 20</t>
  </si>
  <si>
    <t>Дер. Бор, д. 21</t>
  </si>
  <si>
    <t>Дер. Климово, д. 5</t>
  </si>
  <si>
    <t>Дер. Климово, д. 6</t>
  </si>
  <si>
    <t>Дер. Климово, д. 7</t>
  </si>
  <si>
    <t>Г. Пикалево, ул. Горняков, д. 6</t>
  </si>
  <si>
    <t>Г. Пикалево, ул. Горняков, д. 19</t>
  </si>
  <si>
    <t>Г. Пикалево, ул. Комсомольская, д. 3</t>
  </si>
  <si>
    <t>Г. Пикалево, ул. Комсомольская, д. 7</t>
  </si>
  <si>
    <t>Г. Пикалево, ул. Школьная, д. 15</t>
  </si>
  <si>
    <t>Г. Пикалево, ул. Комсомольская, д. 5</t>
  </si>
  <si>
    <t>Г. Пикалево, ул. Горняков, д. 15</t>
  </si>
  <si>
    <t>Г. Пикалево, ул. Металлургов, д. 15</t>
  </si>
  <si>
    <t>Пос. Совхозный, д. 32</t>
  </si>
  <si>
    <t>Дер. Бегуницы, д. 20</t>
  </si>
  <si>
    <t>Г. Волосово, ул. Гатчинская, д. 2</t>
  </si>
  <si>
    <t>Дерево</t>
  </si>
  <si>
    <t>Г. Волосово, ул. Хрустицкого, д. 80</t>
  </si>
  <si>
    <t xml:space="preserve">Дер. Извара, д. 4 </t>
  </si>
  <si>
    <t>Дер. Курковицы, д. 1</t>
  </si>
  <si>
    <t>Дер. Курковицы, д. 2</t>
  </si>
  <si>
    <t>Пос. Калитино, д. 6</t>
  </si>
  <si>
    <t>Дер. Рабитицы, д. 13</t>
  </si>
  <si>
    <t>Дер. Б. Сабск, д. 12</t>
  </si>
  <si>
    <t>Муниципальное образование Сабское сельское поселение</t>
  </si>
  <si>
    <t>Дер. Бережки, ул. Песочная, д. 18</t>
  </si>
  <si>
    <t>Дер. Бережки, ул. Песочная, д. 19</t>
  </si>
  <si>
    <t>Дер. Бережки, ул. Песочная, д. 20</t>
  </si>
  <si>
    <t>Дер. Бережки, ул. Песочная, д. 21</t>
  </si>
  <si>
    <t>Г. Гатчина, ул. 7 Армии, д. 10А</t>
  </si>
  <si>
    <t>Г. Гатчина, ул. 7 Армии, д. 25/43</t>
  </si>
  <si>
    <t>Г. Гатчина, ул. 7 Армии, д. 27/20</t>
  </si>
  <si>
    <t>Г. Гатчина, ул. Володарского, д. 23</t>
  </si>
  <si>
    <t>Г. Гатчина, ул. Володарского, д. 35</t>
  </si>
  <si>
    <t>Г. Гатчина, ул. К. Маркса, д. 46</t>
  </si>
  <si>
    <t>Г. Гатчина, ул. К. Маркса, д. 57</t>
  </si>
  <si>
    <t>Г. Гатчина, ул. К. Маркса, д. 61</t>
  </si>
  <si>
    <t>Г. Гатчина, ул. Киевская, д. 7/1</t>
  </si>
  <si>
    <t>Г. Гатчина, ул. Товарная Балтийск, д. 2</t>
  </si>
  <si>
    <t>Региональный оператор (далее - РО)</t>
  </si>
  <si>
    <t>30.12.2017</t>
  </si>
  <si>
    <t>Г. Волхов, просп. Волховский, д. 55</t>
  </si>
  <si>
    <t>Г. Волхов, ул. Комсомольская, д. 16</t>
  </si>
  <si>
    <t>Г. Волхов, ул. Молодежная, д. 16</t>
  </si>
  <si>
    <t>Дер. Иссад, микрорайон Центральный, д. 20</t>
  </si>
  <si>
    <t>Дер. Чаплино, д. 1</t>
  </si>
  <si>
    <t>Дер. Чаплино, д. 2</t>
  </si>
  <si>
    <t>Дер. Чаплино, д. 3</t>
  </si>
  <si>
    <t>С. Колчаново, ул. Чернецкое, д. 77</t>
  </si>
  <si>
    <t>Г. Новая Ладога, ул. Пионерская, д. 16А</t>
  </si>
  <si>
    <t>Г. Новая Ладога, Наб. Лад. Флотилии, д. 14</t>
  </si>
  <si>
    <t>Г. Новая Ладога, Наб. Лад. Флотилии, д. 18</t>
  </si>
  <si>
    <t>Г. Новая Ладога, Наб. Лад. Флотилии, д. 38</t>
  </si>
  <si>
    <t>Пос. Свирица, ул. Птичий остров, д. 22</t>
  </si>
  <si>
    <t>Пос. Свирица, ул. Новая Свирица, д. 13</t>
  </si>
  <si>
    <t>Пос. Свирица, ул. Новая Свирица, д. 14</t>
  </si>
  <si>
    <t>Пос. Свирица, ул. Новая Свирица, д. 35</t>
  </si>
  <si>
    <t xml:space="preserve">Дер. Агалатово, Военный городок, д. 111  </t>
  </si>
  <si>
    <t xml:space="preserve">Дер. Агалатово, Военный городок, д. 119  </t>
  </si>
  <si>
    <t xml:space="preserve">Дер. Агалатово, Военный городок, д. 97  </t>
  </si>
  <si>
    <t xml:space="preserve">Дер. Агалатово, ул. Жилгородок, д. 8  </t>
  </si>
  <si>
    <t xml:space="preserve">Г. Всеволожск, ул. Василеозерская, д. 10/1  </t>
  </si>
  <si>
    <t xml:space="preserve">Г. Всеволожск, ул. Магистральная, д. 2  </t>
  </si>
  <si>
    <t xml:space="preserve">Г.п. Дубровка, ул. Ленинградская, д. 4 </t>
  </si>
  <si>
    <t xml:space="preserve">Г.п. Дубровка, ул. Пионерская, д. 11 </t>
  </si>
  <si>
    <t xml:space="preserve">Г.п. Дубровка, ул. Советская, д. 35А </t>
  </si>
  <si>
    <t xml:space="preserve">Г.п. Дубровка, ул. Советская, д. 37 </t>
  </si>
  <si>
    <t xml:space="preserve">Г.п. Дубровка, ул. Школьная, д. 32А </t>
  </si>
  <si>
    <t xml:space="preserve">Г.п. Дубровка, ул. Школьная, д. 34А </t>
  </si>
  <si>
    <t>Г.п. им. Морозова, ул. Ладожская, д. 43</t>
  </si>
  <si>
    <t>Г.п. им. Морозова, ул. Мира, д. 11</t>
  </si>
  <si>
    <t>Г.п. им. Морозова, ул. Северная, д. 1, кор. 1</t>
  </si>
  <si>
    <t>Г.п. им. Морозова, ул. Спорта, д. 3</t>
  </si>
  <si>
    <t>Пос. им. Свердлова, микрорайон 1, д. 1</t>
  </si>
  <si>
    <t xml:space="preserve">Г. Сертолово, микрорайон Сертолово-2, д. 2  </t>
  </si>
  <si>
    <t xml:space="preserve">Г. Сертолово, микрорайон Черная Речка, д. 3  </t>
  </si>
  <si>
    <t xml:space="preserve">Г. Сертолово, микрорайон Черная Речка, д. 5  </t>
  </si>
  <si>
    <t xml:space="preserve">Г. Сертолово, микрорайон Черная Речка, д. 6  </t>
  </si>
  <si>
    <t xml:space="preserve">Г. Сертолово, ул. Ларина, д. 3  </t>
  </si>
  <si>
    <t xml:space="preserve">Г. Сертолово, ул. Сосновая, д. 3  </t>
  </si>
  <si>
    <t>Дер. Рапполово, ул. Овражная, д. 1</t>
  </si>
  <si>
    <t>Дер. Рапполово, ул. Центральная, д. 1</t>
  </si>
  <si>
    <t>Пос. Токсово, ул. Гагарина, д. 30</t>
  </si>
  <si>
    <t>Пос. Токсово, ул. Привокзальная, д. 13</t>
  </si>
  <si>
    <t>Пос. Токсово, ул. Привокзальная, д. 14</t>
  </si>
  <si>
    <t>Пос. Токсово, ул. Привокзальная, д. 15</t>
  </si>
  <si>
    <t>Пос. Токсово, ул. Привокзальная, д. 16</t>
  </si>
  <si>
    <t xml:space="preserve">Г. Выборг, ул. Северная, д. 8  </t>
  </si>
  <si>
    <t xml:space="preserve">Г. Выборг, ул. Приморская, д. 15  </t>
  </si>
  <si>
    <t xml:space="preserve">Г. Выборг, ул. Садовая, д. 11  </t>
  </si>
  <si>
    <t>Г. Каменногорск, ул. Кооперативная, д. 7</t>
  </si>
  <si>
    <t>Г. Каменногорск, ул. Песчаная, д. 2</t>
  </si>
  <si>
    <t>Г. Каменногорск, ш. Ленинградское, д. 65а</t>
  </si>
  <si>
    <t>Г. Каменногорск, ш. Ленинградское, д. 72</t>
  </si>
  <si>
    <t>Г. Каменногорск, ш. Ленинградское, д. 74</t>
  </si>
  <si>
    <t>Пос. Бородинское, ул. Машинная, д. 8</t>
  </si>
  <si>
    <t>Пос. Бородинское, ул. Машинная, д. 9</t>
  </si>
  <si>
    <t>Пос. Михалево, ул. Новая, д. 3</t>
  </si>
  <si>
    <t>Г. Каменногорск, ш. Ленинградское, д. 86</t>
  </si>
  <si>
    <t>Г. Светогорск, ул. Кирова, д. 1</t>
  </si>
  <si>
    <t>Г. Светогорск, ул. Победы, д. 27</t>
  </si>
  <si>
    <t>Г. Светогорск, ул. Пограничная, д. 1</t>
  </si>
  <si>
    <t>Г. Светогорск, ул. Пограничная, д. 3</t>
  </si>
  <si>
    <t>Пос. Лужайка, д. 10</t>
  </si>
  <si>
    <t>Пос. Лужайка, д. 9</t>
  </si>
  <si>
    <t>Пос. Селезнево, ул. Центральная, д. 13</t>
  </si>
  <si>
    <t>Пос. Селезнево, ул. Центральная, д. 14</t>
  </si>
  <si>
    <t>Другое</t>
  </si>
  <si>
    <t>Пос. Дружная Горка, ул. Введенского, д. 19</t>
  </si>
  <si>
    <t>Г. Коммунар, ул. Пионерская, д. 2а</t>
  </si>
  <si>
    <t>Г. Кингисепп, ул. 1 линия, д. 8</t>
  </si>
  <si>
    <t>Г. Кингисепп, ул. Воровского, д. 19</t>
  </si>
  <si>
    <t>Г. Кингисепп, ш. Крикковское, д. 27\50</t>
  </si>
  <si>
    <t>Г. Кингисепп, ул. Жукова, д. 10А</t>
  </si>
  <si>
    <t>Г. Ивангород, ул. Гагарина, д. 1</t>
  </si>
  <si>
    <t>Г. Ивангород, ул. Гагарина, д. 3</t>
  </si>
  <si>
    <t>Г. Ивангород, ул. Садовая, д. 3</t>
  </si>
  <si>
    <t>Г. Ивангород, ул. Льнопрядильная, д. 1</t>
  </si>
  <si>
    <t>Г. Ивангород, ул. Пасторова, д. 4</t>
  </si>
  <si>
    <t>Дер. Б. Пустомержа, д. 1</t>
  </si>
  <si>
    <t>Дер. Б. Пустомержа, д. 3</t>
  </si>
  <si>
    <t>Дер. Мануйлово, д. 2</t>
  </si>
  <si>
    <t>Г. Кириши, ул. Строителей, д. 32</t>
  </si>
  <si>
    <t>Г. Кириши, ул. Строителей, д. 40</t>
  </si>
  <si>
    <t>Дер. Кусино, ул. Центральная, д. 5</t>
  </si>
  <si>
    <t>Г. Кировск, ул. Горького, д. 14</t>
  </si>
  <si>
    <t>Г. Кировск, ул. Кирова, д. 10</t>
  </si>
  <si>
    <t>Г. Кировск, ул. Кирова, д. 13</t>
  </si>
  <si>
    <t>Г. Кировск, ул. Маяковского, д. 5</t>
  </si>
  <si>
    <t>Г. Кировск, ул. Маяковского, д. 9</t>
  </si>
  <si>
    <t>Г. Кировск, ул. Победы, д. 1</t>
  </si>
  <si>
    <t>Г. Кировск, ул. Победы, д. 19</t>
  </si>
  <si>
    <t>Г. Кировск, ул. Победы, д. 3</t>
  </si>
  <si>
    <t>Г. Кировск, ул. Советская, д. 24</t>
  </si>
  <si>
    <t>Г.п. Мга, ул. Майора Жаринова, д. 4</t>
  </si>
  <si>
    <t>Г.п. Мга, ул. Майора Жаринова, д. 6</t>
  </si>
  <si>
    <t>Пос. Назия, ул. Матросова, д. 22</t>
  </si>
  <si>
    <t>Г. Отрадное, ул. Вокзальная, д. 4</t>
  </si>
  <si>
    <t>Г.п. Павлово, ул. Советская, д. 5</t>
  </si>
  <si>
    <t>Г.п. Павлово, ул. Советская, д. 7</t>
  </si>
  <si>
    <t>С. Путилово, ул. Братьев Пожарских, д. 15а</t>
  </si>
  <si>
    <t>Дер. Сухое, д. 7</t>
  </si>
  <si>
    <t>Г. Шлиссельбург, ул. Ульянова, д. 23</t>
  </si>
  <si>
    <t>Г. Шлиссельбург, ул. Чекалова, д. 25</t>
  </si>
  <si>
    <t>Г. Лодейное Поле, просп. Октябрьский, д. 69</t>
  </si>
  <si>
    <t>Г. Лодейное Поле, ул. Володарского, д. 28, кор. 1</t>
  </si>
  <si>
    <t>Г. Лодейное Поле, ул. Володарского, д. 28, кор. 2</t>
  </si>
  <si>
    <t>Г. Лодейное Поле, ул. Ленина, д. 31</t>
  </si>
  <si>
    <t>Г. Лодейное Поле, ул. Ленина, д. 38</t>
  </si>
  <si>
    <t>Г. Лодейное Поле, ул. Ленина, д. 40</t>
  </si>
  <si>
    <t>Г. Лодейное Поле, ул. Талалихина, д. 10</t>
  </si>
  <si>
    <t>Г. Лодейное Поле, ул. Талалихина, д. 7</t>
  </si>
  <si>
    <t>Г. Лодейное Поле, ул. Ульяновская, д. 12</t>
  </si>
  <si>
    <t>Г. Лодейное Поле, ул. Ульяновская, д. 13</t>
  </si>
  <si>
    <t>Пос. Большая Ижора, ул. Приморское шоссе, д. 66</t>
  </si>
  <si>
    <t>С. Копорье, д. 18</t>
  </si>
  <si>
    <t>С. Копорье, д. 3</t>
  </si>
  <si>
    <t>С. Копорье, д. 6</t>
  </si>
  <si>
    <t>Дер. Лаголово, ул. Садовая, д. 5</t>
  </si>
  <si>
    <t>Дер. Лаголово, ул. Садовая, д. 6</t>
  </si>
  <si>
    <t>Пос. Лебяжье, ул. Комсомольская, д. 3</t>
  </si>
  <si>
    <t>Пос. Лебяжье, ул. Комсомольская, д. 5</t>
  </si>
  <si>
    <t>Пос. Лебяжье, ул. Пляжная, д. 2</t>
  </si>
  <si>
    <t>Пос. Лебяжье, ул. Приморская, д. 75</t>
  </si>
  <si>
    <t>Пос. Волошово, ул. Школьная, д. 13</t>
  </si>
  <si>
    <t>Пос. Волошово, ул. Школьная, д. 14</t>
  </si>
  <si>
    <t>Пос. Волошово, ул. Школьная, д. 7</t>
  </si>
  <si>
    <t>Пос. Волошово, ул. Южная, д. 4</t>
  </si>
  <si>
    <t>Пос. Волошово, ул. Южная, д. 6</t>
  </si>
  <si>
    <t>Пос. Волошово, ул. Южная, д. 7</t>
  </si>
  <si>
    <t>Пос. Волошово, ул. Южная, д. 8</t>
  </si>
  <si>
    <t>Дер. Бор, ул. Новая, д. 1</t>
  </si>
  <si>
    <t>Дер. Бор, ул. Новая, д. 2</t>
  </si>
  <si>
    <t>Дер. Торошковичи, ул. Козлова, д. 13</t>
  </si>
  <si>
    <t>Дер. Торошковичи, ул. Козлова, д. 91</t>
  </si>
  <si>
    <t>Пос. Дзержинского, ул. Парковая, д. 7</t>
  </si>
  <si>
    <t>Пос. Дзержинского, ул. Центральная, д. 8</t>
  </si>
  <si>
    <t>Пос. Дзержинского, ул. Школьная, д. 2</t>
  </si>
  <si>
    <t>Г. Луга, Городок , д. 5/26</t>
  </si>
  <si>
    <t>Г. Луга, просп. Кирова, д. 83</t>
  </si>
  <si>
    <t>Г. Луга, просп. Кирова, д. 95</t>
  </si>
  <si>
    <t>Дер. Пехенец, ул. Молодежная, д. 1</t>
  </si>
  <si>
    <t>Дер. Пехенец, ул. Молодежная, д. 3</t>
  </si>
  <si>
    <t>Дер. Пехенец, ул. Пионерская, д. 24</t>
  </si>
  <si>
    <t>Дер. Пехенец, ул. Пионерская, д. 26</t>
  </si>
  <si>
    <t>Дер. Калгановка, д. 2</t>
  </si>
  <si>
    <t>Дер. Калгановка, д. 3</t>
  </si>
  <si>
    <t>Дер. Калгановка, д. 4</t>
  </si>
  <si>
    <t>Дер. Калгановка, д. 5</t>
  </si>
  <si>
    <t>Дер. Калгановка, д. 6</t>
  </si>
  <si>
    <t>Дер. Калгановка, д. 8</t>
  </si>
  <si>
    <t>Пос. Скреблово, д. 36</t>
  </si>
  <si>
    <t>Дер. Савлово, ул. Центральная, д. 1</t>
  </si>
  <si>
    <t>Дер. Савлово, ул. Центральная, д. 2</t>
  </si>
  <si>
    <t>С. Винницы, ул. Советская, д. 96</t>
  </si>
  <si>
    <t>Г. Никольский, ул. Новая, д. 2</t>
  </si>
  <si>
    <t>Г. Никольский, ул. Новая, д. 4</t>
  </si>
  <si>
    <t>Г. Подпорожье, просп. Ленина, д. 14А</t>
  </si>
  <si>
    <t>Г. Подпорожье, ул. Свирская, д. 27</t>
  </si>
  <si>
    <t>Дер. Красноозерное, ул. Школьная, д. 3</t>
  </si>
  <si>
    <t>Пос. Моторное, ул. Приладожское шоссе, д. 2</t>
  </si>
  <si>
    <t>Г. Приозерск, ул. Красноармейская, д. 13</t>
  </si>
  <si>
    <t>Г. Приозерск, ул. Красноармейская, д. 7</t>
  </si>
  <si>
    <t>Г. Приозерск, ул. Ленина, д. 44</t>
  </si>
  <si>
    <t>Г. Приозерск, ул. Ленина, д. 46</t>
  </si>
  <si>
    <t>Г. Приозерск, ул. Ленина, д. 50</t>
  </si>
  <si>
    <t>Г. Приозерск, ул. Ленина, д. 52</t>
  </si>
  <si>
    <t>Г. Приозерск, ул. Ленина, д. 54</t>
  </si>
  <si>
    <t>Дер. Раздолье, ул. Центральная, д. 8</t>
  </si>
  <si>
    <t>Пос. Понтонное, ул. Молодежная, д. 1</t>
  </si>
  <si>
    <t>Пос. Понтонное, ул. Молодежная, д. 2</t>
  </si>
  <si>
    <t>Пос. Понтонное, ул. Молодежная, д. 3</t>
  </si>
  <si>
    <t>Пос. Понтонное, ул. Молодежная, д. 4</t>
  </si>
  <si>
    <t>Пос. Ромашки, ул. Новостроек, д. 1</t>
  </si>
  <si>
    <t>Пос. Ромашки, ул. Новостроек, д. 7</t>
  </si>
  <si>
    <t>Пос. Суходолье, ул. Октябрьская, д. 4</t>
  </si>
  <si>
    <t>Пос. Сосново, ул. Железнодорожная, д. 55</t>
  </si>
  <si>
    <t>Дер. Гостицы, д. 3</t>
  </si>
  <si>
    <t>Дер. Гостицы, д. 4</t>
  </si>
  <si>
    <t>Дер. Сельхозтехника, д. 5</t>
  </si>
  <si>
    <t>Дер. Сельхозтехника, д. 6</t>
  </si>
  <si>
    <t>Г. Сланцы, пер. Почтовый, д. 5</t>
  </si>
  <si>
    <t>Г. Сланцы, пер. Трестовский, д. 4/5</t>
  </si>
  <si>
    <t>Г. Сланцы, ул. Банковская, д. 7</t>
  </si>
  <si>
    <t>Г. Сланцы, ул. Грибоедова, д. 7</t>
  </si>
  <si>
    <t>Г. Сланцы, ул. Грибоедова, д. 9</t>
  </si>
  <si>
    <t>Г. Сланцы, ул. Кирова, д. 30</t>
  </si>
  <si>
    <t>Г. Сланцы, ул. Кирова, д. 31</t>
  </si>
  <si>
    <t>Г. Сланцы, ул. Чкалова, д. 1</t>
  </si>
  <si>
    <t>Г. Сланцы, ул. Чкалова, д. 5</t>
  </si>
  <si>
    <t>Г. Сланцы, просп. Молодежный, д. 17</t>
  </si>
  <si>
    <t>Г. Сланцы, ул. 1 Мая, д. 16</t>
  </si>
  <si>
    <t>Г. Сосновый Бор, ул. Комсомольская, д. 14</t>
  </si>
  <si>
    <t>Г. Сосновый Бор, ул. Комсомольская, д. 3</t>
  </si>
  <si>
    <t>Г. Сосновый Бор, ул. Комсомольская, д. 9</t>
  </si>
  <si>
    <t>Г. Сосновый Бор, ул. Космонавтов, д. 24</t>
  </si>
  <si>
    <t>Г. Сосновый Бор, ул. Космонавтов, д. 6</t>
  </si>
  <si>
    <t>Г. Сосновый Бор, ул. Красных Фортов, д. 13</t>
  </si>
  <si>
    <t>Г. Сосновый Бор, ул. Ленинская, д. 2</t>
  </si>
  <si>
    <t>Г. Сосновый Бор, ул. Ленинская, д. 3</t>
  </si>
  <si>
    <t>Г. Сосновый Бор, ул. Ленинская, д. 7</t>
  </si>
  <si>
    <t>Г. Сосновый Бор, ул. Ленинская, д. 9</t>
  </si>
  <si>
    <t>Г. Сосновый Бор, ул. Малая Земля, д. 16</t>
  </si>
  <si>
    <t>Г. Сосновый Бор, ул. Мира, д. 5</t>
  </si>
  <si>
    <t>Г. Сосновый Бор, ул. Солнечная, д. 43/2</t>
  </si>
  <si>
    <t>Дер. Кайвакса, д. 53</t>
  </si>
  <si>
    <t>Дер. Кайвакса, д. 54</t>
  </si>
  <si>
    <t>Дер. Ганьково, д. 1</t>
  </si>
  <si>
    <t>Г. Тихвин, микрорайон 1, д. 1</t>
  </si>
  <si>
    <t>Г. Тихвин, микрорайон 1, д. 18</t>
  </si>
  <si>
    <t>Г. Тихвин, микрорайон 3, д. 41а</t>
  </si>
  <si>
    <t>Г. Тихвин, микрорайон 4, д. 10</t>
  </si>
  <si>
    <t>Г. Тихвин, микрорайон 4, д. 13</t>
  </si>
  <si>
    <t>Г. Тихвин, микрорайон 4, д. 14</t>
  </si>
  <si>
    <t>Г. Тихвин, микрорайон 4, д. 4</t>
  </si>
  <si>
    <t>Г. Тихвин, ул. Карла Маркса, д. 3</t>
  </si>
  <si>
    <t>Г. Тихвин, ул. Ново-Советская, д. 4а</t>
  </si>
  <si>
    <t>Г. Тихвин, ул. Танкистов, д. 36</t>
  </si>
  <si>
    <t>Г. Тихвин, ул. Труда, д. 27</t>
  </si>
  <si>
    <t>Пос. Берёзовик, д. 34</t>
  </si>
  <si>
    <t>Пос. Красава, ул. Вокзальная, д. 7</t>
  </si>
  <si>
    <t>Дер. Шуйга, ул. Советская, д. 13</t>
  </si>
  <si>
    <t>Пос. Шугозеро, ул. Школьная, д. 4</t>
  </si>
  <si>
    <t>Г. Никольское, ул. Первомайская, д. 3</t>
  </si>
  <si>
    <t>Г. Никольское, ул. Школьная, д. 9</t>
  </si>
  <si>
    <t>Г. Тосно, ул. Максима Горького, д. 7</t>
  </si>
  <si>
    <t>Дер. Георгиевское, д. 2</t>
  </si>
  <si>
    <t>Дер. Георгиевское, д. 3</t>
  </si>
  <si>
    <t>Дер. Георгиевское, д. 4</t>
  </si>
  <si>
    <t>Дер. Георгиевское, д. 5</t>
  </si>
  <si>
    <t>Дер. Георгиевское, д. 6</t>
  </si>
  <si>
    <t>Г.п. Ульяновка, просп. Володарского, д. 135</t>
  </si>
  <si>
    <t>Г.п. Ульяновка, ш. Ульяновское, д. 8а</t>
  </si>
  <si>
    <t>Г.п. Форносово, пер. Комсомольский, д. 2</t>
  </si>
  <si>
    <t>Г.п. Форносово, ул. Дальняя, д. 3а</t>
  </si>
  <si>
    <t>Г.п. Форносово, ул. Круговая, д. 13</t>
  </si>
  <si>
    <t>Г.п. Форносово, ул. Круговая, д. 17</t>
  </si>
  <si>
    <t>Г.п. Форносово, ул. Круговая, д. 24</t>
  </si>
  <si>
    <t>Г.п. Форносово, ул. Круговая, д. 24а</t>
  </si>
  <si>
    <t>Г.п. Форносово, ул. Круговая, д. 9</t>
  </si>
  <si>
    <t>Г.п. Форносово, ш. Павловское, д. 21</t>
  </si>
  <si>
    <t>Г.п. Форносово, ш. Павловское, д. 23</t>
  </si>
  <si>
    <t>Г.п. Форносово, ш. Павловское, д. 25</t>
  </si>
  <si>
    <t>Дер. Новолисино, ул. Вотчинская, д. 1</t>
  </si>
  <si>
    <t>Работы по предпроектной подготовке</t>
  </si>
  <si>
    <t>II. Реестр многоквартирных домов, которые подлежат капитальному ремонту в 2016 году</t>
  </si>
  <si>
    <t>Г. Сланцы, ул. Ленина, д. 2</t>
  </si>
  <si>
    <t>Г. Сланцы, ул. Ленина, д. 3</t>
  </si>
  <si>
    <t>Г. Сланцы, ул. Ленина, д. 4</t>
  </si>
  <si>
    <t>Г. Сланцы, ул. Ленина, д. 6</t>
  </si>
  <si>
    <t>Г. Сланцы, ул. Ленина, д. 9</t>
  </si>
  <si>
    <t>Г. Сланцы, ул. Спортивная, д. 7</t>
  </si>
  <si>
    <t>Г. Сланцы, ул. Максима Горького, д. 1/11</t>
  </si>
  <si>
    <t>Г. Сланцы, ул. Максима Горького, д. 4</t>
  </si>
  <si>
    <t>Г. Сланцы, ул. Максима Горького, д. 6</t>
  </si>
  <si>
    <t>Г. Сланцы, ул. Максима Горького, д. 8</t>
  </si>
  <si>
    <t>Г. Сланцы, ул. Максима Горького, д. 5/9</t>
  </si>
  <si>
    <t>Г. Сланцы, ул. Кирова, д. 32</t>
  </si>
  <si>
    <t>Г. Сланцы, ул. Кирова, д. 34</t>
  </si>
  <si>
    <t>Г. Сланцы, ул. Кирова, д. 36</t>
  </si>
  <si>
    <t>Г. Сланцы, ул. Кирова, д. 40</t>
  </si>
  <si>
    <t>1356.3</t>
  </si>
  <si>
    <t>Г. Бокситогорск, ул. Заводская, д. 5</t>
  </si>
  <si>
    <t>Г. Бокситогорск, ул. Заводская, д. 7/2</t>
  </si>
  <si>
    <t>Г. Бокситогорск, ул. Комсомольская, д. 24</t>
  </si>
  <si>
    <t>Г. Бокситогорск, ул. Социалистическая, д. 19</t>
  </si>
  <si>
    <t>Г. Новая Ладога, просп. К. Маркса, д. 32</t>
  </si>
  <si>
    <t>Г. Новая Ладога, ул. Ворошилова, д. 20</t>
  </si>
  <si>
    <t>Г. Новая Ладога, ул. Суворова, д. 15</t>
  </si>
  <si>
    <t>Г. Новая Ладога, ул. Суворова, д. 37</t>
  </si>
  <si>
    <t>Г. Новая Ладога, ул. Суворова, д. 39</t>
  </si>
  <si>
    <t>Г. Новая Ладога, ул. Наб. Лад. Флотилии, д. 22</t>
  </si>
  <si>
    <t xml:space="preserve">Дер. Вартемяки, ш. Токсовское, д. 4  </t>
  </si>
  <si>
    <t>Г.п. им. Морозова, ул. Первомайская, д. 18</t>
  </si>
  <si>
    <t>Г.п. им. Морозова, ул. Хесина, д. 14</t>
  </si>
  <si>
    <t xml:space="preserve">Г. Сертолово, ул. Заречная, д. 7  </t>
  </si>
  <si>
    <t xml:space="preserve">Г. Выборг, ул. Мира, д. 16  </t>
  </si>
  <si>
    <t>Муниципальное образование Приморское городское поселение</t>
  </si>
  <si>
    <t>Пос. Кравцово, д. 3</t>
  </si>
  <si>
    <t>Г. Приморск, наб. Лебедева, д. 9</t>
  </si>
  <si>
    <t>Г. Гатчина, просп. Красноармейский, д. 15</t>
  </si>
  <si>
    <t>Г. Гатчина, просп. Красноармейский, д. 17</t>
  </si>
  <si>
    <t>Г. Гатчина, просп. Красноармейский, д. 19</t>
  </si>
  <si>
    <t>Г. Гатчина, ул. Соборная, д. 24Б</t>
  </si>
  <si>
    <t>Г. Гатчина, ул. Урицкого, д. 20А</t>
  </si>
  <si>
    <t>Пос. Назия, просп. Комсомольский, д. 11</t>
  </si>
  <si>
    <t>Муниципальное образование Русско-Высоцкое сельское поселение</t>
  </si>
  <si>
    <t>С. Русско-Высоцкое, д. 1</t>
  </si>
  <si>
    <t>С. Русско-Высоцкое, д. 2</t>
  </si>
  <si>
    <t>Пос. Оредеж, ул. Ленина, д. 12</t>
  </si>
  <si>
    <t>Г. Луга, просп. Володарского, д. 40</t>
  </si>
  <si>
    <t>Г. Луга, просп. Урицкого, д. 64</t>
  </si>
  <si>
    <t>Дер. Ям-Тесово, ул. Центральная, д. 4</t>
  </si>
  <si>
    <t>Г. Подпорожье, ул. Строителей, д. 7б</t>
  </si>
  <si>
    <t>Г. Приозерск, ул. Гагарина, д. 9</t>
  </si>
  <si>
    <t>Пос. Сосново, ул. Связи, д. 1</t>
  </si>
  <si>
    <t>Г. Тихвин, ул. Новгородская, д. 23</t>
  </si>
  <si>
    <t>Пос. Шугозеро, ул. Советская, д. 49</t>
  </si>
  <si>
    <t>Пос. Шугозеро, ул. Советская, д. 59</t>
  </si>
  <si>
    <t>Дер. Мошково, ул. Солнечная, д. 23</t>
  </si>
  <si>
    <t>Пос. Шугозеро, ул. Лесная, д. 3</t>
  </si>
  <si>
    <t>Пос. Шугозеро, ул. Лесная, д. 4</t>
  </si>
  <si>
    <t>Г.п. Форносово, ул. Круговая, д. 15</t>
  </si>
  <si>
    <t>Г. Подпорожье, ул. Комсомольская, д. 2</t>
  </si>
  <si>
    <t>Г. Гатчина, ул. К. Маркса, д. 11</t>
  </si>
  <si>
    <t>Г. Гатчина, ул. К. Маркса, д. 14А</t>
  </si>
  <si>
    <t>5 и 9</t>
  </si>
  <si>
    <t>Муниципальное образование Важинское городское поселение</t>
  </si>
  <si>
    <t>Г.п. Важины, ул. Школьная, д. 4</t>
  </si>
  <si>
    <t>Г. Новая Ладога, ул. Пионерская, д. 18</t>
  </si>
  <si>
    <t>Г. Новая Ладога, ул. Пионерская, д. 20</t>
  </si>
  <si>
    <t>Пос. Возрождение, д. 9</t>
  </si>
  <si>
    <t>Г. Подпорожье, ул. Комсомольская, д. 6</t>
  </si>
  <si>
    <t>Г. Лодейное Поле, просп. Гагарина, д. 13</t>
  </si>
  <si>
    <t>Муниципальное образование Любанское городское поселение</t>
  </si>
  <si>
    <t>Пос. Любань, просп. Мельникова, д. 17</t>
  </si>
  <si>
    <t>Г. Тихвин, микрорайон 1, д. 10</t>
  </si>
  <si>
    <t>Г. Тихвин, микрорайон 1, д. 11</t>
  </si>
  <si>
    <t>Муниципальное образование Аннинское городское поселение</t>
  </si>
  <si>
    <t>Г.п. Новоселье, д. 15</t>
  </si>
  <si>
    <t>Г.п. Новоселье, д. 5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</si>
  <si>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</t>
  </si>
  <si>
    <t>Тосненский район</t>
  </si>
  <si>
    <t>Дер. Ганьково, квартал летчика Кузнецова д.1</t>
  </si>
  <si>
    <t>Дер. Б. Пустомержа, ул. Оболенского, д.56</t>
  </si>
  <si>
    <t>Дер. Б. Пустомержа, ул. Оболенского, д.54/1</t>
  </si>
  <si>
    <t>Спецчсет</t>
  </si>
  <si>
    <t>Г. Гатчина, просп. 25 Октября, д. 63</t>
  </si>
  <si>
    <t>фасад</t>
  </si>
  <si>
    <t>Г. Гатчина, ул. Достоевского, д. 5</t>
  </si>
  <si>
    <t xml:space="preserve">                            постановлением Правительства Ленинградской области от 13 ноября 2015 года № 433</t>
  </si>
  <si>
    <t xml:space="preserve">  (приложение)</t>
  </si>
  <si>
    <t>(в редакции постановления Правительства Ленинградской области</t>
  </si>
  <si>
    <t>от ____________ 2017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</si>
</sst>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;[Red]0.0"/>
    <numFmt numFmtId="166" formatCode="#,##0.0"/>
    <numFmt numFmtId="167" formatCode="#,###.00"/>
    <numFmt numFmtId="168" formatCode="#,###.00;[Red]\-#,###.00"/>
    <numFmt numFmtId="169" formatCode="0.0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name val="Calibri"/>
      <family val="2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9" fillId="0" borderId="0"/>
    <xf numFmtId="0" fontId="8" fillId="0" borderId="0"/>
    <xf numFmtId="0" fontId="11" fillId="0" borderId="0"/>
    <xf numFmtId="0" fontId="5" fillId="0" borderId="0"/>
    <xf numFmtId="0" fontId="12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8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" xfId="1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16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" fontId="4" fillId="2" borderId="1" xfId="16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2" fontId="4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center" vertical="center"/>
    </xf>
    <xf numFmtId="2" fontId="4" fillId="2" borderId="1" xfId="44" applyNumberFormat="1" applyFont="1" applyFill="1" applyBorder="1" applyAlignment="1">
      <alignment horizontal="center" vertical="center" wrapText="1"/>
    </xf>
    <xf numFmtId="0" fontId="4" fillId="2" borderId="1" xfId="44" applyFont="1" applyFill="1" applyBorder="1" applyAlignment="1">
      <alignment horizontal="center" vertical="center" wrapText="1"/>
    </xf>
    <xf numFmtId="4" fontId="4" fillId="2" borderId="1" xfId="44" applyNumberFormat="1" applyFont="1" applyFill="1" applyBorder="1" applyAlignment="1">
      <alignment horizontal="center" vertical="center" wrapText="1"/>
    </xf>
    <xf numFmtId="3" fontId="4" fillId="2" borderId="1" xfId="44" applyNumberFormat="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45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4" fillId="2" borderId="1" xfId="11" applyNumberFormat="1" applyFont="1" applyFill="1" applyBorder="1" applyAlignment="1">
      <alignment horizontal="left" vertical="center" wrapText="1"/>
    </xf>
    <xf numFmtId="0" fontId="4" fillId="2" borderId="1" xfId="0" applyFont="1" applyFill="1" applyBorder="1"/>
    <xf numFmtId="1" fontId="4" fillId="2" borderId="1" xfId="0" quotePrefix="1" applyNumberFormat="1" applyFont="1" applyFill="1" applyBorder="1" applyAlignment="1">
      <alignment horizontal="center" vertical="center" wrapText="1"/>
    </xf>
    <xf numFmtId="4" fontId="4" fillId="2" borderId="1" xfId="11" quotePrefix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4" fillId="2" borderId="1" xfId="11" quotePrefix="1" applyFont="1" applyFill="1" applyBorder="1" applyAlignment="1">
      <alignment horizontal="center" vertical="center"/>
    </xf>
    <xf numFmtId="4" fontId="4" fillId="2" borderId="1" xfId="1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11" applyFont="1" applyFill="1" applyBorder="1" applyAlignment="1">
      <alignment horizontal="center" vertical="center"/>
    </xf>
    <xf numFmtId="0" fontId="4" fillId="2" borderId="1" xfId="14" quotePrefix="1" applyFont="1" applyFill="1" applyBorder="1" applyAlignment="1">
      <alignment horizontal="center" vertical="center"/>
    </xf>
    <xf numFmtId="0" fontId="4" fillId="2" borderId="1" xfId="14" applyFont="1" applyFill="1" applyBorder="1" applyAlignment="1">
      <alignment horizontal="center" vertical="center"/>
    </xf>
    <xf numFmtId="4" fontId="4" fillId="2" borderId="1" xfId="43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45" applyNumberFormat="1" applyFont="1" applyFill="1" applyBorder="1" applyAlignment="1">
      <alignment horizontal="center" vertical="center"/>
    </xf>
    <xf numFmtId="0" fontId="4" fillId="2" borderId="1" xfId="10" applyFont="1" applyFill="1" applyBorder="1" applyAlignment="1">
      <alignment horizontal="center" vertical="center"/>
    </xf>
    <xf numFmtId="0" fontId="4" fillId="2" borderId="1" xfId="10" applyFont="1" applyFill="1" applyBorder="1" applyAlignment="1">
      <alignment horizontal="center" vertical="center" wrapText="1"/>
    </xf>
    <xf numFmtId="4" fontId="4" fillId="2" borderId="1" xfId="10" applyNumberFormat="1" applyFont="1" applyFill="1" applyBorder="1" applyAlignment="1">
      <alignment horizontal="center" vertical="center"/>
    </xf>
    <xf numFmtId="3" fontId="4" fillId="2" borderId="1" xfId="10" applyNumberFormat="1" applyFont="1" applyFill="1" applyBorder="1" applyAlignment="1">
      <alignment horizontal="center" vertical="center" wrapText="1"/>
    </xf>
    <xf numFmtId="4" fontId="4" fillId="2" borderId="1" xfId="10" applyNumberFormat="1" applyFont="1" applyFill="1" applyBorder="1" applyAlignment="1">
      <alignment horizontal="center" vertical="center" wrapText="1"/>
    </xf>
    <xf numFmtId="3" fontId="4" fillId="2" borderId="1" xfId="1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0" fontId="4" fillId="2" borderId="1" xfId="16" applyFont="1" applyFill="1" applyBorder="1" applyAlignment="1">
      <alignment horizontal="center" vertical="center" wrapText="1"/>
    </xf>
    <xf numFmtId="3" fontId="4" fillId="2" borderId="1" xfId="16" applyNumberFormat="1" applyFont="1" applyFill="1" applyBorder="1" applyAlignment="1">
      <alignment horizontal="center" vertical="center" wrapText="1"/>
    </xf>
    <xf numFmtId="164" fontId="4" fillId="2" borderId="1" xfId="14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1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center" wrapText="1"/>
    </xf>
    <xf numFmtId="4" fontId="4" fillId="2" borderId="1" xfId="3" applyNumberFormat="1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1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3" applyFont="1" applyFill="1" applyBorder="1" applyAlignment="1">
      <alignment wrapText="1"/>
    </xf>
    <xf numFmtId="0" fontId="4" fillId="2" borderId="1" xfId="3" applyFont="1" applyFill="1" applyBorder="1" applyAlignment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horizontal="right" vertical="center" indent="1"/>
    </xf>
    <xf numFmtId="4" fontId="4" fillId="2" borderId="1" xfId="6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6" applyNumberFormat="1" applyFont="1" applyFill="1" applyBorder="1" applyAlignment="1">
      <alignment horizontal="center" vertical="center" wrapText="1"/>
    </xf>
    <xf numFmtId="4" fontId="4" fillId="2" borderId="1" xfId="14" applyNumberFormat="1" applyFont="1" applyFill="1" applyBorder="1" applyAlignment="1">
      <alignment horizontal="center" vertical="center"/>
    </xf>
    <xf numFmtId="3" fontId="4" fillId="2" borderId="1" xfId="16" applyNumberFormat="1" applyFont="1" applyFill="1" applyBorder="1" applyAlignment="1">
      <alignment horizontal="center" vertical="center"/>
    </xf>
    <xf numFmtId="4" fontId="4" fillId="2" borderId="1" xfId="16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3" fontId="3" fillId="2" borderId="1" xfId="16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4" fillId="2" borderId="1" xfId="6" applyNumberFormat="1" applyFont="1" applyFill="1" applyBorder="1" applyAlignment="1" applyProtection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horizontal="center" vertical="center"/>
    </xf>
    <xf numFmtId="4" fontId="3" fillId="2" borderId="2" xfId="0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 wrapText="1" indent="1"/>
    </xf>
    <xf numFmtId="4" fontId="3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vertical="center"/>
    </xf>
    <xf numFmtId="0" fontId="10" fillId="2" borderId="0" xfId="0" applyFont="1" applyFill="1"/>
    <xf numFmtId="0" fontId="13" fillId="2" borderId="0" xfId="0" applyFont="1" applyFill="1"/>
    <xf numFmtId="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4" fontId="4" fillId="2" borderId="0" xfId="0" applyNumberFormat="1" applyFont="1" applyFill="1"/>
    <xf numFmtId="4" fontId="4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16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1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justify"/>
    </xf>
    <xf numFmtId="3" fontId="7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11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4" fontId="4" fillId="2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4" fontId="3" fillId="2" borderId="1" xfId="16" applyNumberFormat="1" applyFont="1" applyFill="1" applyBorder="1" applyAlignment="1">
      <alignment horizontal="center" vertical="center"/>
    </xf>
    <xf numFmtId="4" fontId="3" fillId="2" borderId="1" xfId="16" applyNumberFormat="1" applyFont="1" applyFill="1" applyBorder="1" applyAlignment="1">
      <alignment horizontal="left" vertical="center"/>
    </xf>
    <xf numFmtId="4" fontId="3" fillId="2" borderId="1" xfId="16" applyNumberFormat="1" applyFont="1" applyFill="1" applyBorder="1" applyAlignment="1">
      <alignment horizontal="left" vertical="center" wrapText="1"/>
    </xf>
    <xf numFmtId="4" fontId="4" fillId="2" borderId="1" xfId="16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" fontId="3" fillId="2" borderId="0" xfId="0" applyNumberFormat="1" applyFont="1" applyFill="1" applyAlignment="1">
      <alignment horizontal="center" vertical="center"/>
    </xf>
    <xf numFmtId="4" fontId="3" fillId="2" borderId="1" xfId="11" applyNumberFormat="1" applyFont="1" applyFill="1" applyBorder="1" applyAlignment="1">
      <alignment horizontal="left" vertical="center"/>
    </xf>
    <xf numFmtId="0" fontId="3" fillId="2" borderId="0" xfId="0" applyFont="1" applyFill="1"/>
    <xf numFmtId="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" fontId="15" fillId="2" borderId="0" xfId="0" applyNumberFormat="1" applyFont="1" applyFill="1"/>
    <xf numFmtId="0" fontId="14" fillId="2" borderId="0" xfId="0" applyFont="1" applyFill="1"/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4" fontId="4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/>
    <xf numFmtId="4" fontId="3" fillId="2" borderId="0" xfId="0" applyNumberFormat="1" applyFont="1" applyFill="1"/>
    <xf numFmtId="0" fontId="4" fillId="2" borderId="0" xfId="0" applyNumberFormat="1" applyFont="1" applyFill="1" applyBorder="1" applyAlignment="1" applyProtection="1"/>
    <xf numFmtId="0" fontId="0" fillId="2" borderId="0" xfId="0" applyFill="1"/>
  </cellXfs>
  <cellStyles count="48">
    <cellStyle name="Excel Built-in Normal" xfId="1"/>
    <cellStyle name="Excel Built-in Normal 2" xfId="2"/>
    <cellStyle name="Excel Built-in Normal 2 2" xfId="3"/>
    <cellStyle name="Excel Built-in Normal 3" xfId="4"/>
    <cellStyle name="TableStyleLight1" xfId="5"/>
    <cellStyle name="Обычный" xfId="0" builtinId="0"/>
    <cellStyle name="Обычный 10" xfId="6"/>
    <cellStyle name="Обычный 10 2" xfId="7"/>
    <cellStyle name="Обычный 11" xfId="8"/>
    <cellStyle name="Обычный 12" xfId="9"/>
    <cellStyle name="Обычный 13" xfId="10"/>
    <cellStyle name="Обычный 2" xfId="11"/>
    <cellStyle name="Обычный 2 2" xfId="12"/>
    <cellStyle name="Обычный 2 2 2" xfId="13"/>
    <cellStyle name="Обычный 2 3" xfId="14"/>
    <cellStyle name="Обычный 2 4" xfId="15"/>
    <cellStyle name="Обычный 3" xfId="16"/>
    <cellStyle name="Обычный 3 2" xfId="17"/>
    <cellStyle name="Обычный 3 2 2" xfId="18"/>
    <cellStyle name="Обычный 3 3" xfId="19"/>
    <cellStyle name="Обычный 3 4" xfId="20"/>
    <cellStyle name="Обычный 3 5" xfId="21"/>
    <cellStyle name="Обычный 4" xfId="22"/>
    <cellStyle name="Обычный 4 2" xfId="23"/>
    <cellStyle name="Обычный 4 3" xfId="24"/>
    <cellStyle name="Обычный 4 4" xfId="25"/>
    <cellStyle name="Обычный 4 5" xfId="26"/>
    <cellStyle name="Обычный 5" xfId="27"/>
    <cellStyle name="Обычный 5 2" xfId="28"/>
    <cellStyle name="Обычный 6" xfId="29"/>
    <cellStyle name="Обычный 6 2" xfId="30"/>
    <cellStyle name="Обычный 6 3" xfId="31"/>
    <cellStyle name="Обычный 6 4" xfId="32"/>
    <cellStyle name="Обычный 6 5" xfId="33"/>
    <cellStyle name="Обычный 7" xfId="34"/>
    <cellStyle name="Обычный 7 2" xfId="35"/>
    <cellStyle name="Обычный 7 3" xfId="36"/>
    <cellStyle name="Обычный 7 4" xfId="37"/>
    <cellStyle name="Обычный 7 5" xfId="38"/>
    <cellStyle name="Обычный 8" xfId="39"/>
    <cellStyle name="Обычный 8 2" xfId="40"/>
    <cellStyle name="Обычный 9" xfId="41"/>
    <cellStyle name="Обычный 9 2" xfId="42"/>
    <cellStyle name="Обычный 9 3" xfId="43"/>
    <cellStyle name="Обычный_Лист1" xfId="44"/>
    <cellStyle name="Финансовый" xfId="45" builtinId="3"/>
    <cellStyle name="Финансовый 2" xfId="46"/>
    <cellStyle name="Финансовый 3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8"/>
  <sheetViews>
    <sheetView topLeftCell="A190" zoomScaleNormal="100" zoomScaleSheetLayoutView="80" workbookViewId="0">
      <selection activeCell="G190" sqref="A1:XFD1048576"/>
    </sheetView>
  </sheetViews>
  <sheetFormatPr defaultRowHeight="15" x14ac:dyDescent="0.25"/>
  <cols>
    <col min="1" max="1" width="5" style="96" customWidth="1"/>
    <col min="2" max="2" width="46.7109375" style="97" customWidth="1"/>
    <col min="3" max="3" width="10.5703125" style="96" customWidth="1"/>
    <col min="4" max="4" width="9.42578125" style="96" bestFit="1" customWidth="1"/>
    <col min="5" max="5" width="9.28515625" style="96" bestFit="1" customWidth="1"/>
    <col min="6" max="7" width="9.42578125" style="96" bestFit="1" customWidth="1"/>
    <col min="8" max="8" width="13.140625" style="96" bestFit="1" customWidth="1"/>
    <col min="9" max="9" width="11" style="96" customWidth="1"/>
    <col min="10" max="11" width="11.42578125" style="96" customWidth="1"/>
    <col min="12" max="12" width="17.5703125" style="96" customWidth="1"/>
    <col min="13" max="13" width="9.42578125" style="96" bestFit="1" customWidth="1"/>
    <col min="14" max="14" width="12.85546875" style="96" customWidth="1"/>
    <col min="15" max="15" width="13.85546875" style="96" customWidth="1"/>
    <col min="16" max="16" width="16.7109375" style="96" customWidth="1"/>
    <col min="17" max="17" width="10.85546875" style="96" customWidth="1"/>
    <col min="18" max="18" width="12.42578125" style="96" customWidth="1"/>
    <col min="19" max="19" width="11.42578125" style="96" customWidth="1"/>
    <col min="20" max="20" width="9.28515625" style="96" bestFit="1" customWidth="1"/>
    <col min="21" max="21" width="15.42578125" style="245" hidden="1" customWidth="1"/>
    <col min="22" max="22" width="30.85546875" style="245" hidden="1" customWidth="1"/>
    <col min="23" max="23" width="26.28515625" style="245" hidden="1" customWidth="1"/>
    <col min="24" max="16384" width="9.140625" style="245"/>
  </cols>
  <sheetData>
    <row r="1" spans="1:22" s="138" customFormat="1" ht="12.75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192</v>
      </c>
      <c r="R1" s="1"/>
      <c r="S1" s="1"/>
      <c r="T1" s="1"/>
    </row>
    <row r="2" spans="1:22" s="138" customFormat="1" ht="12.75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609</v>
      </c>
      <c r="R2" s="1"/>
      <c r="S2" s="1"/>
      <c r="T2" s="1"/>
    </row>
    <row r="3" spans="1:22" s="138" customFormat="1" ht="12.75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611</v>
      </c>
      <c r="R3" s="1"/>
      <c r="S3" s="1"/>
      <c r="T3" s="1"/>
    </row>
    <row r="4" spans="1:22" s="138" customFormat="1" ht="12.75" x14ac:dyDescent="0.2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 t="s">
        <v>612</v>
      </c>
      <c r="R4" s="1"/>
      <c r="S4" s="1"/>
      <c r="T4" s="1"/>
    </row>
    <row r="5" spans="1:22" s="138" customFormat="1" ht="12.75" x14ac:dyDescent="0.2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610</v>
      </c>
      <c r="R5" s="1"/>
      <c r="S5" s="1"/>
      <c r="T5" s="1"/>
    </row>
    <row r="6" spans="1:22" s="138" customFormat="1" ht="16.5" customHeight="1" x14ac:dyDescent="0.2">
      <c r="A6" s="200" t="s">
        <v>600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1"/>
    </row>
    <row r="7" spans="1:22" s="138" customFormat="1" ht="12.75" x14ac:dyDescent="0.2">
      <c r="A7" s="1"/>
      <c r="B7" s="2"/>
      <c r="C7" s="1"/>
      <c r="D7" s="201" t="s">
        <v>235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1"/>
      <c r="S7" s="1"/>
      <c r="T7" s="1"/>
    </row>
    <row r="8" spans="1:22" s="138" customFormat="1" ht="30" customHeight="1" x14ac:dyDescent="0.2">
      <c r="A8" s="183" t="s">
        <v>193</v>
      </c>
      <c r="B8" s="183" t="s">
        <v>1</v>
      </c>
      <c r="C8" s="187" t="s">
        <v>194</v>
      </c>
      <c r="D8" s="187"/>
      <c r="E8" s="202" t="s">
        <v>195</v>
      </c>
      <c r="F8" s="202" t="s">
        <v>196</v>
      </c>
      <c r="G8" s="202" t="s">
        <v>197</v>
      </c>
      <c r="H8" s="198" t="s">
        <v>198</v>
      </c>
      <c r="I8" s="183" t="s">
        <v>199</v>
      </c>
      <c r="J8" s="183"/>
      <c r="K8" s="198" t="s">
        <v>200</v>
      </c>
      <c r="L8" s="183" t="s">
        <v>201</v>
      </c>
      <c r="M8" s="183"/>
      <c r="N8" s="183"/>
      <c r="O8" s="183"/>
      <c r="P8" s="183"/>
      <c r="Q8" s="199" t="s">
        <v>202</v>
      </c>
      <c r="R8" s="199" t="s">
        <v>203</v>
      </c>
      <c r="S8" s="198" t="s">
        <v>204</v>
      </c>
      <c r="T8" s="198" t="s">
        <v>205</v>
      </c>
    </row>
    <row r="9" spans="1:22" s="138" customFormat="1" ht="15" customHeight="1" x14ac:dyDescent="0.2">
      <c r="A9" s="183"/>
      <c r="B9" s="183"/>
      <c r="C9" s="198" t="s">
        <v>206</v>
      </c>
      <c r="D9" s="198" t="s">
        <v>207</v>
      </c>
      <c r="E9" s="202"/>
      <c r="F9" s="202"/>
      <c r="G9" s="202"/>
      <c r="H9" s="198"/>
      <c r="I9" s="198" t="s">
        <v>208</v>
      </c>
      <c r="J9" s="198" t="s">
        <v>209</v>
      </c>
      <c r="K9" s="198"/>
      <c r="L9" s="198" t="s">
        <v>208</v>
      </c>
      <c r="M9" s="154"/>
      <c r="N9" s="154"/>
      <c r="O9" s="152"/>
      <c r="P9" s="152"/>
      <c r="Q9" s="199"/>
      <c r="R9" s="199"/>
      <c r="S9" s="198"/>
      <c r="T9" s="198"/>
    </row>
    <row r="10" spans="1:22" s="138" customFormat="1" ht="173.45" customHeight="1" x14ac:dyDescent="0.2">
      <c r="A10" s="183"/>
      <c r="B10" s="183"/>
      <c r="C10" s="198"/>
      <c r="D10" s="198"/>
      <c r="E10" s="202"/>
      <c r="F10" s="202"/>
      <c r="G10" s="202"/>
      <c r="H10" s="198"/>
      <c r="I10" s="198"/>
      <c r="J10" s="198"/>
      <c r="K10" s="198"/>
      <c r="L10" s="198"/>
      <c r="M10" s="154" t="s">
        <v>210</v>
      </c>
      <c r="N10" s="154" t="s">
        <v>211</v>
      </c>
      <c r="O10" s="154" t="s">
        <v>212</v>
      </c>
      <c r="P10" s="154" t="s">
        <v>213</v>
      </c>
      <c r="Q10" s="199"/>
      <c r="R10" s="199"/>
      <c r="S10" s="198"/>
      <c r="T10" s="198"/>
    </row>
    <row r="11" spans="1:22" s="138" customFormat="1" ht="19.149999999999999" customHeight="1" x14ac:dyDescent="0.2">
      <c r="A11" s="183"/>
      <c r="B11" s="183"/>
      <c r="C11" s="198"/>
      <c r="D11" s="198"/>
      <c r="E11" s="202"/>
      <c r="F11" s="202"/>
      <c r="G11" s="202"/>
      <c r="H11" s="152" t="s">
        <v>214</v>
      </c>
      <c r="I11" s="152" t="s">
        <v>214</v>
      </c>
      <c r="J11" s="152" t="s">
        <v>214</v>
      </c>
      <c r="K11" s="152" t="s">
        <v>215</v>
      </c>
      <c r="L11" s="152" t="s">
        <v>12</v>
      </c>
      <c r="M11" s="152"/>
      <c r="N11" s="152"/>
      <c r="O11" s="152" t="s">
        <v>12</v>
      </c>
      <c r="P11" s="152" t="s">
        <v>12</v>
      </c>
      <c r="Q11" s="3" t="s">
        <v>216</v>
      </c>
      <c r="R11" s="3" t="s">
        <v>216</v>
      </c>
      <c r="S11" s="198"/>
      <c r="T11" s="198"/>
    </row>
    <row r="12" spans="1:22" s="138" customFormat="1" ht="12.75" x14ac:dyDescent="0.2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  <c r="J12" s="153">
        <v>10</v>
      </c>
      <c r="K12" s="153">
        <v>11</v>
      </c>
      <c r="L12" s="153">
        <v>12</v>
      </c>
      <c r="M12" s="153">
        <v>13</v>
      </c>
      <c r="N12" s="153">
        <v>14</v>
      </c>
      <c r="O12" s="153">
        <v>15</v>
      </c>
      <c r="P12" s="153">
        <v>16</v>
      </c>
      <c r="Q12" s="153">
        <v>17</v>
      </c>
      <c r="R12" s="153">
        <v>18</v>
      </c>
      <c r="S12" s="153">
        <v>19</v>
      </c>
      <c r="T12" s="152">
        <v>20</v>
      </c>
    </row>
    <row r="13" spans="1:22" s="138" customFormat="1" ht="15.75" customHeight="1" x14ac:dyDescent="0.2">
      <c r="A13" s="185" t="s">
        <v>113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</row>
    <row r="14" spans="1:22" s="138" customFormat="1" ht="12.75" x14ac:dyDescent="0.2">
      <c r="A14" s="189" t="s">
        <v>114</v>
      </c>
      <c r="B14" s="189"/>
      <c r="C14" s="189"/>
      <c r="D14" s="189"/>
      <c r="E14" s="189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</row>
    <row r="15" spans="1:22" s="138" customFormat="1" ht="63.75" x14ac:dyDescent="0.2">
      <c r="A15" s="153">
        <v>1</v>
      </c>
      <c r="B15" s="155" t="s">
        <v>541</v>
      </c>
      <c r="C15" s="152">
        <v>1959</v>
      </c>
      <c r="D15" s="152"/>
      <c r="E15" s="152" t="s">
        <v>218</v>
      </c>
      <c r="F15" s="152">
        <v>4</v>
      </c>
      <c r="G15" s="152">
        <v>6</v>
      </c>
      <c r="H15" s="159">
        <v>4251.54</v>
      </c>
      <c r="I15" s="159">
        <v>2752.08</v>
      </c>
      <c r="J15" s="159">
        <v>2609.96</v>
      </c>
      <c r="K15" s="160">
        <v>100</v>
      </c>
      <c r="L15" s="161">
        <f>'виды работ '!C11</f>
        <v>445411</v>
      </c>
      <c r="M15" s="161">
        <v>0</v>
      </c>
      <c r="N15" s="161">
        <v>0</v>
      </c>
      <c r="O15" s="161">
        <v>0</v>
      </c>
      <c r="P15" s="161">
        <f>L15</f>
        <v>445411</v>
      </c>
      <c r="Q15" s="161">
        <f>L15/H15</f>
        <v>104.76462646476335</v>
      </c>
      <c r="R15" s="161">
        <v>14593.7</v>
      </c>
      <c r="S15" s="4" t="s">
        <v>279</v>
      </c>
      <c r="T15" s="152" t="s">
        <v>278</v>
      </c>
      <c r="V15" s="139">
        <f>L16-'виды работ '!C12</f>
        <v>0</v>
      </c>
    </row>
    <row r="16" spans="1:22" s="138" customFormat="1" ht="12.75" x14ac:dyDescent="0.2">
      <c r="A16" s="153">
        <f>A15+1</f>
        <v>2</v>
      </c>
      <c r="B16" s="155" t="s">
        <v>542</v>
      </c>
      <c r="C16" s="152">
        <v>1955</v>
      </c>
      <c r="D16" s="152"/>
      <c r="E16" s="152" t="s">
        <v>218</v>
      </c>
      <c r="F16" s="152">
        <v>4</v>
      </c>
      <c r="G16" s="152">
        <v>6</v>
      </c>
      <c r="H16" s="152">
        <v>4323.07</v>
      </c>
      <c r="I16" s="152">
        <v>3230.98</v>
      </c>
      <c r="J16" s="152">
        <v>2867.62</v>
      </c>
      <c r="K16" s="152">
        <v>100</v>
      </c>
      <c r="L16" s="161">
        <f>'виды работ '!C12</f>
        <v>485499</v>
      </c>
      <c r="M16" s="161">
        <v>0</v>
      </c>
      <c r="N16" s="161">
        <v>0</v>
      </c>
      <c r="O16" s="161">
        <v>0</v>
      </c>
      <c r="P16" s="161">
        <f>L16</f>
        <v>485499</v>
      </c>
      <c r="Q16" s="161">
        <f>L16/H16</f>
        <v>112.30421899252153</v>
      </c>
      <c r="R16" s="161">
        <v>14593.7</v>
      </c>
      <c r="S16" s="4" t="s">
        <v>279</v>
      </c>
      <c r="T16" s="152" t="s">
        <v>231</v>
      </c>
      <c r="V16" s="139">
        <f>L17-'виды работ '!C13</f>
        <v>0</v>
      </c>
    </row>
    <row r="17" spans="1:22" s="138" customFormat="1" ht="12.75" x14ac:dyDescent="0.2">
      <c r="A17" s="153">
        <f t="shared" ref="A17:A30" si="0">A16+1</f>
        <v>3</v>
      </c>
      <c r="B17" s="5" t="s">
        <v>221</v>
      </c>
      <c r="C17" s="153">
        <v>1953</v>
      </c>
      <c r="D17" s="153"/>
      <c r="E17" s="152" t="s">
        <v>218</v>
      </c>
      <c r="F17" s="153">
        <v>2</v>
      </c>
      <c r="G17" s="153">
        <v>2</v>
      </c>
      <c r="H17" s="161">
        <v>1036.8699999999999</v>
      </c>
      <c r="I17" s="161">
        <v>726.94</v>
      </c>
      <c r="J17" s="161">
        <v>726.94</v>
      </c>
      <c r="K17" s="153">
        <v>22</v>
      </c>
      <c r="L17" s="159">
        <f>'виды работ '!C13</f>
        <v>3316156.2</v>
      </c>
      <c r="M17" s="161">
        <v>0</v>
      </c>
      <c r="N17" s="161">
        <v>0</v>
      </c>
      <c r="O17" s="161">
        <v>0</v>
      </c>
      <c r="P17" s="161">
        <f t="shared" ref="P17:P22" si="1">L17</f>
        <v>3316156.2</v>
      </c>
      <c r="Q17" s="161">
        <f t="shared" ref="Q17:Q22" si="2">L17/H17</f>
        <v>3198.2371946338503</v>
      </c>
      <c r="R17" s="161">
        <v>14593.7</v>
      </c>
      <c r="S17" s="4" t="s">
        <v>279</v>
      </c>
      <c r="T17" s="152" t="s">
        <v>231</v>
      </c>
      <c r="V17" s="139">
        <f>L18-'виды работ '!C14</f>
        <v>0</v>
      </c>
    </row>
    <row r="18" spans="1:22" s="138" customFormat="1" ht="12.75" x14ac:dyDescent="0.2">
      <c r="A18" s="153">
        <f t="shared" si="0"/>
        <v>4</v>
      </c>
      <c r="B18" s="5" t="s">
        <v>119</v>
      </c>
      <c r="C18" s="153">
        <v>1958</v>
      </c>
      <c r="D18" s="153"/>
      <c r="E18" s="152" t="s">
        <v>218</v>
      </c>
      <c r="F18" s="153">
        <v>3</v>
      </c>
      <c r="G18" s="153">
        <v>3</v>
      </c>
      <c r="H18" s="161">
        <v>1480.34</v>
      </c>
      <c r="I18" s="161">
        <v>1296.8900000000001</v>
      </c>
      <c r="J18" s="161">
        <v>1253.1500000000001</v>
      </c>
      <c r="K18" s="153">
        <v>30</v>
      </c>
      <c r="L18" s="159">
        <f>'виды работ '!C14</f>
        <v>3248208.28</v>
      </c>
      <c r="M18" s="161">
        <v>0</v>
      </c>
      <c r="N18" s="161">
        <v>0</v>
      </c>
      <c r="O18" s="161">
        <v>0</v>
      </c>
      <c r="P18" s="161">
        <f t="shared" si="1"/>
        <v>3248208.28</v>
      </c>
      <c r="Q18" s="161">
        <f t="shared" si="2"/>
        <v>2194.2312441736358</v>
      </c>
      <c r="R18" s="161">
        <v>14593.7</v>
      </c>
      <c r="S18" s="4" t="s">
        <v>279</v>
      </c>
      <c r="T18" s="152" t="s">
        <v>231</v>
      </c>
      <c r="V18" s="139">
        <f>L19-'виды работ '!C15</f>
        <v>0</v>
      </c>
    </row>
    <row r="19" spans="1:22" s="138" customFormat="1" ht="12.75" x14ac:dyDescent="0.2">
      <c r="A19" s="153">
        <f t="shared" si="0"/>
        <v>5</v>
      </c>
      <c r="B19" s="155" t="s">
        <v>543</v>
      </c>
      <c r="C19" s="152">
        <v>1956</v>
      </c>
      <c r="D19" s="152"/>
      <c r="E19" s="152" t="s">
        <v>219</v>
      </c>
      <c r="F19" s="152">
        <v>3</v>
      </c>
      <c r="G19" s="152">
        <v>3</v>
      </c>
      <c r="H19" s="159">
        <v>1708.53</v>
      </c>
      <c r="I19" s="159">
        <v>1234.18</v>
      </c>
      <c r="J19" s="159">
        <v>859.52</v>
      </c>
      <c r="K19" s="160">
        <v>28</v>
      </c>
      <c r="L19" s="161">
        <f>'виды работ '!C15</f>
        <v>214579.68</v>
      </c>
      <c r="M19" s="161">
        <v>0</v>
      </c>
      <c r="N19" s="161">
        <v>0</v>
      </c>
      <c r="O19" s="161">
        <v>0</v>
      </c>
      <c r="P19" s="161">
        <f t="shared" si="1"/>
        <v>214579.68</v>
      </c>
      <c r="Q19" s="161">
        <f t="shared" si="2"/>
        <v>125.59315903144808</v>
      </c>
      <c r="R19" s="161">
        <v>14593.7</v>
      </c>
      <c r="S19" s="4" t="s">
        <v>279</v>
      </c>
      <c r="T19" s="152" t="s">
        <v>231</v>
      </c>
      <c r="V19" s="139">
        <f>L20-'виды работ '!C16</f>
        <v>0</v>
      </c>
    </row>
    <row r="20" spans="1:22" s="138" customFormat="1" ht="12.75" x14ac:dyDescent="0.2">
      <c r="A20" s="153">
        <f t="shared" si="0"/>
        <v>6</v>
      </c>
      <c r="B20" s="5" t="s">
        <v>220</v>
      </c>
      <c r="C20" s="6">
        <v>1957</v>
      </c>
      <c r="D20" s="153"/>
      <c r="E20" s="152" t="s">
        <v>218</v>
      </c>
      <c r="F20" s="6">
        <v>3</v>
      </c>
      <c r="G20" s="6">
        <v>4</v>
      </c>
      <c r="H20" s="7">
        <v>2818.81</v>
      </c>
      <c r="I20" s="8">
        <v>1764.61</v>
      </c>
      <c r="J20" s="6">
        <v>1144.48</v>
      </c>
      <c r="K20" s="6">
        <v>50</v>
      </c>
      <c r="L20" s="159">
        <f>'виды работ '!C16</f>
        <v>773994.21</v>
      </c>
      <c r="M20" s="161">
        <v>0</v>
      </c>
      <c r="N20" s="161">
        <v>0</v>
      </c>
      <c r="O20" s="161">
        <v>0</v>
      </c>
      <c r="P20" s="161">
        <f t="shared" si="1"/>
        <v>773994.21</v>
      </c>
      <c r="Q20" s="161">
        <f t="shared" si="2"/>
        <v>274.5819015825827</v>
      </c>
      <c r="R20" s="161">
        <v>14593.7</v>
      </c>
      <c r="S20" s="4" t="s">
        <v>279</v>
      </c>
      <c r="T20" s="152" t="s">
        <v>231</v>
      </c>
      <c r="V20" s="139">
        <f>L21-'виды работ '!C17</f>
        <v>0</v>
      </c>
    </row>
    <row r="21" spans="1:22" s="138" customFormat="1" ht="12.75" x14ac:dyDescent="0.2">
      <c r="A21" s="153">
        <f t="shared" si="0"/>
        <v>7</v>
      </c>
      <c r="B21" s="5" t="s">
        <v>115</v>
      </c>
      <c r="C21" s="153">
        <v>1956</v>
      </c>
      <c r="D21" s="153"/>
      <c r="E21" s="152" t="s">
        <v>218</v>
      </c>
      <c r="F21" s="153">
        <v>3</v>
      </c>
      <c r="G21" s="153">
        <v>4</v>
      </c>
      <c r="H21" s="153">
        <v>5639.8</v>
      </c>
      <c r="I21" s="161">
        <v>3712.97</v>
      </c>
      <c r="J21" s="161">
        <v>2080.4499999999998</v>
      </c>
      <c r="K21" s="153">
        <v>56</v>
      </c>
      <c r="L21" s="161">
        <f>'виды работ '!C17</f>
        <v>343578</v>
      </c>
      <c r="M21" s="161">
        <v>0</v>
      </c>
      <c r="N21" s="161">
        <v>0</v>
      </c>
      <c r="O21" s="161">
        <v>0</v>
      </c>
      <c r="P21" s="161">
        <f t="shared" si="1"/>
        <v>343578</v>
      </c>
      <c r="Q21" s="161">
        <f t="shared" si="2"/>
        <v>60.920245398773005</v>
      </c>
      <c r="R21" s="161">
        <v>14593.7</v>
      </c>
      <c r="S21" s="4" t="s">
        <v>279</v>
      </c>
      <c r="T21" s="152" t="s">
        <v>231</v>
      </c>
      <c r="V21" s="139">
        <f>L22-'виды работ '!C18</f>
        <v>0</v>
      </c>
    </row>
    <row r="22" spans="1:22" s="138" customFormat="1" ht="12.75" x14ac:dyDescent="0.2">
      <c r="A22" s="153">
        <f t="shared" si="0"/>
        <v>8</v>
      </c>
      <c r="B22" s="5" t="s">
        <v>191</v>
      </c>
      <c r="C22" s="153">
        <v>1957</v>
      </c>
      <c r="D22" s="153"/>
      <c r="E22" s="152" t="s">
        <v>218</v>
      </c>
      <c r="F22" s="153">
        <v>3</v>
      </c>
      <c r="G22" s="153">
        <v>5</v>
      </c>
      <c r="H22" s="161">
        <v>4667.03</v>
      </c>
      <c r="I22" s="161">
        <v>3425.11</v>
      </c>
      <c r="J22" s="161">
        <v>3201.3</v>
      </c>
      <c r="K22" s="153">
        <v>103</v>
      </c>
      <c r="L22" s="161">
        <f>'виды работ '!C18</f>
        <v>248004.19</v>
      </c>
      <c r="M22" s="161">
        <v>0</v>
      </c>
      <c r="N22" s="161">
        <v>0</v>
      </c>
      <c r="O22" s="161">
        <v>0</v>
      </c>
      <c r="P22" s="161">
        <f t="shared" si="1"/>
        <v>248004.19</v>
      </c>
      <c r="Q22" s="161">
        <f t="shared" si="2"/>
        <v>53.139617701193266</v>
      </c>
      <c r="R22" s="161">
        <v>14593.7</v>
      </c>
      <c r="S22" s="4" t="s">
        <v>279</v>
      </c>
      <c r="T22" s="152" t="s">
        <v>231</v>
      </c>
      <c r="V22" s="139">
        <f>L23-'виды работ '!C19</f>
        <v>0</v>
      </c>
    </row>
    <row r="23" spans="1:22" s="138" customFormat="1" ht="12.75" x14ac:dyDescent="0.2">
      <c r="A23" s="153">
        <f t="shared" si="0"/>
        <v>9</v>
      </c>
      <c r="B23" s="5" t="s">
        <v>217</v>
      </c>
      <c r="C23" s="153">
        <v>1956</v>
      </c>
      <c r="D23" s="153"/>
      <c r="E23" s="152" t="s">
        <v>218</v>
      </c>
      <c r="F23" s="153">
        <v>3</v>
      </c>
      <c r="G23" s="153">
        <v>4</v>
      </c>
      <c r="H23" s="9">
        <v>2697.82</v>
      </c>
      <c r="I23" s="161">
        <v>1793</v>
      </c>
      <c r="J23" s="161">
        <v>1609.11</v>
      </c>
      <c r="K23" s="153">
        <v>57</v>
      </c>
      <c r="L23" s="161">
        <f>'виды работ '!C19</f>
        <v>4759146.01</v>
      </c>
      <c r="M23" s="161">
        <v>0</v>
      </c>
      <c r="N23" s="161">
        <v>0</v>
      </c>
      <c r="O23" s="161">
        <v>0</v>
      </c>
      <c r="P23" s="161">
        <f t="shared" ref="P23:P30" si="3">L23</f>
        <v>4759146.01</v>
      </c>
      <c r="Q23" s="161">
        <f t="shared" ref="Q23:Q31" si="4">L23/H23</f>
        <v>1764.0709943584077</v>
      </c>
      <c r="R23" s="161">
        <v>14593.7</v>
      </c>
      <c r="S23" s="4" t="s">
        <v>279</v>
      </c>
      <c r="T23" s="152" t="s">
        <v>231</v>
      </c>
      <c r="V23" s="139">
        <f>L24-'виды работ '!C20</f>
        <v>0</v>
      </c>
    </row>
    <row r="24" spans="1:22" s="138" customFormat="1" ht="12.75" x14ac:dyDescent="0.2">
      <c r="A24" s="153">
        <f t="shared" si="0"/>
        <v>10</v>
      </c>
      <c r="B24" s="5" t="s">
        <v>116</v>
      </c>
      <c r="C24" s="153">
        <v>1959</v>
      </c>
      <c r="D24" s="153"/>
      <c r="E24" s="152" t="s">
        <v>218</v>
      </c>
      <c r="F24" s="153">
        <v>3</v>
      </c>
      <c r="G24" s="153">
        <v>3</v>
      </c>
      <c r="H24" s="7">
        <v>1953.81</v>
      </c>
      <c r="I24" s="161">
        <v>1488.65</v>
      </c>
      <c r="J24" s="161">
        <v>1225.06</v>
      </c>
      <c r="K24" s="153">
        <v>58</v>
      </c>
      <c r="L24" s="159">
        <f>'виды работ '!C20</f>
        <v>651376.11</v>
      </c>
      <c r="M24" s="161">
        <v>0</v>
      </c>
      <c r="N24" s="161">
        <v>0</v>
      </c>
      <c r="O24" s="161">
        <v>0</v>
      </c>
      <c r="P24" s="161">
        <f t="shared" si="3"/>
        <v>651376.11</v>
      </c>
      <c r="Q24" s="161">
        <f t="shared" si="4"/>
        <v>333.38764260598521</v>
      </c>
      <c r="R24" s="161">
        <v>14593.7</v>
      </c>
      <c r="S24" s="4" t="s">
        <v>279</v>
      </c>
      <c r="T24" s="152" t="s">
        <v>231</v>
      </c>
      <c r="V24" s="139">
        <f>L25-'виды работ '!C21</f>
        <v>0</v>
      </c>
    </row>
    <row r="25" spans="1:22" s="138" customFormat="1" ht="12.75" x14ac:dyDescent="0.2">
      <c r="A25" s="153">
        <f t="shared" si="0"/>
        <v>11</v>
      </c>
      <c r="B25" s="5" t="s">
        <v>117</v>
      </c>
      <c r="C25" s="153">
        <v>1959</v>
      </c>
      <c r="D25" s="153"/>
      <c r="E25" s="152" t="s">
        <v>218</v>
      </c>
      <c r="F25" s="153">
        <v>3</v>
      </c>
      <c r="G25" s="153">
        <v>3</v>
      </c>
      <c r="H25" s="7">
        <v>1960.05</v>
      </c>
      <c r="I25" s="161">
        <v>1494.65</v>
      </c>
      <c r="J25" s="161">
        <v>1286.44</v>
      </c>
      <c r="K25" s="153">
        <v>47</v>
      </c>
      <c r="L25" s="161">
        <f>'виды работ '!C21</f>
        <v>652324.34000000008</v>
      </c>
      <c r="M25" s="161">
        <v>0</v>
      </c>
      <c r="N25" s="161">
        <v>0</v>
      </c>
      <c r="O25" s="161">
        <v>0</v>
      </c>
      <c r="P25" s="161">
        <f t="shared" si="3"/>
        <v>652324.34000000008</v>
      </c>
      <c r="Q25" s="161">
        <f t="shared" si="4"/>
        <v>332.81005076401118</v>
      </c>
      <c r="R25" s="161">
        <v>14593.7</v>
      </c>
      <c r="S25" s="4" t="s">
        <v>279</v>
      </c>
      <c r="T25" s="152" t="s">
        <v>231</v>
      </c>
      <c r="V25" s="139">
        <f>L26-'виды работ '!C22</f>
        <v>0</v>
      </c>
    </row>
    <row r="26" spans="1:22" s="138" customFormat="1" ht="12.75" x14ac:dyDescent="0.2">
      <c r="A26" s="153">
        <f t="shared" si="0"/>
        <v>12</v>
      </c>
      <c r="B26" s="5" t="s">
        <v>237</v>
      </c>
      <c r="C26" s="153">
        <v>1939</v>
      </c>
      <c r="D26" s="153"/>
      <c r="E26" s="152" t="s">
        <v>219</v>
      </c>
      <c r="F26" s="153">
        <v>5</v>
      </c>
      <c r="G26" s="153">
        <v>6</v>
      </c>
      <c r="H26" s="161">
        <v>6105.89</v>
      </c>
      <c r="I26" s="161">
        <v>2877.91</v>
      </c>
      <c r="J26" s="161">
        <v>2523.83</v>
      </c>
      <c r="K26" s="153">
        <v>100</v>
      </c>
      <c r="L26" s="159">
        <f>'виды работ '!C22</f>
        <v>1472298.9300000002</v>
      </c>
      <c r="M26" s="161">
        <v>0</v>
      </c>
      <c r="N26" s="161">
        <v>0</v>
      </c>
      <c r="O26" s="161">
        <v>0</v>
      </c>
      <c r="P26" s="161">
        <f t="shared" si="3"/>
        <v>1472298.9300000002</v>
      </c>
      <c r="Q26" s="161">
        <f t="shared" si="4"/>
        <v>241.12765379002897</v>
      </c>
      <c r="R26" s="161">
        <v>14593.7</v>
      </c>
      <c r="S26" s="4" t="s">
        <v>279</v>
      </c>
      <c r="T26" s="152" t="s">
        <v>231</v>
      </c>
      <c r="V26" s="139">
        <f>L27-'виды работ '!C23</f>
        <v>0</v>
      </c>
    </row>
    <row r="27" spans="1:22" s="138" customFormat="1" ht="12.75" x14ac:dyDescent="0.2">
      <c r="A27" s="153">
        <f t="shared" si="0"/>
        <v>13</v>
      </c>
      <c r="B27" s="5" t="s">
        <v>118</v>
      </c>
      <c r="C27" s="10">
        <v>1956</v>
      </c>
      <c r="D27" s="153"/>
      <c r="E27" s="152" t="s">
        <v>218</v>
      </c>
      <c r="F27" s="153">
        <v>3</v>
      </c>
      <c r="G27" s="153">
        <v>3</v>
      </c>
      <c r="H27" s="7">
        <v>1853.61</v>
      </c>
      <c r="I27" s="161">
        <v>1326.61</v>
      </c>
      <c r="J27" s="161">
        <v>1308.3499999999999</v>
      </c>
      <c r="K27" s="153">
        <v>33</v>
      </c>
      <c r="L27" s="159">
        <f>'виды работ '!C23</f>
        <v>208504.94</v>
      </c>
      <c r="M27" s="161">
        <v>0</v>
      </c>
      <c r="N27" s="161">
        <v>0</v>
      </c>
      <c r="O27" s="161">
        <v>0</v>
      </c>
      <c r="P27" s="161">
        <f t="shared" si="3"/>
        <v>208504.94</v>
      </c>
      <c r="Q27" s="161">
        <f t="shared" si="4"/>
        <v>112.48587351168801</v>
      </c>
      <c r="R27" s="161">
        <v>14593.7</v>
      </c>
      <c r="S27" s="4" t="s">
        <v>279</v>
      </c>
      <c r="T27" s="152" t="s">
        <v>231</v>
      </c>
      <c r="V27" s="139">
        <f>L28-'виды работ '!C24</f>
        <v>0</v>
      </c>
    </row>
    <row r="28" spans="1:22" s="138" customFormat="1" ht="12.75" x14ac:dyDescent="0.2">
      <c r="A28" s="153">
        <f t="shared" si="0"/>
        <v>14</v>
      </c>
      <c r="B28" s="155" t="s">
        <v>544</v>
      </c>
      <c r="C28" s="152">
        <v>1956</v>
      </c>
      <c r="D28" s="152"/>
      <c r="E28" s="152" t="s">
        <v>218</v>
      </c>
      <c r="F28" s="152">
        <v>3</v>
      </c>
      <c r="G28" s="152">
        <v>3</v>
      </c>
      <c r="H28" s="159">
        <v>2101.9499999999998</v>
      </c>
      <c r="I28" s="159">
        <v>1322.95</v>
      </c>
      <c r="J28" s="159">
        <v>1011.4</v>
      </c>
      <c r="K28" s="160">
        <v>66</v>
      </c>
      <c r="L28" s="161">
        <f>'виды работ '!C24</f>
        <v>283265.55</v>
      </c>
      <c r="M28" s="161">
        <v>0</v>
      </c>
      <c r="N28" s="161">
        <v>0</v>
      </c>
      <c r="O28" s="161">
        <v>0</v>
      </c>
      <c r="P28" s="161">
        <f t="shared" si="3"/>
        <v>283265.55</v>
      </c>
      <c r="Q28" s="161">
        <f t="shared" si="4"/>
        <v>134.76321986726612</v>
      </c>
      <c r="R28" s="161">
        <v>14593.7</v>
      </c>
      <c r="S28" s="4" t="s">
        <v>279</v>
      </c>
      <c r="T28" s="152" t="s">
        <v>231</v>
      </c>
      <c r="V28" s="139">
        <f>L29-'виды работ '!C25</f>
        <v>0</v>
      </c>
    </row>
    <row r="29" spans="1:22" s="138" customFormat="1" ht="12.75" x14ac:dyDescent="0.2">
      <c r="A29" s="153">
        <f t="shared" si="0"/>
        <v>15</v>
      </c>
      <c r="B29" s="5" t="s">
        <v>120</v>
      </c>
      <c r="C29" s="153">
        <v>1954</v>
      </c>
      <c r="D29" s="153"/>
      <c r="E29" s="152" t="s">
        <v>218</v>
      </c>
      <c r="F29" s="153">
        <v>2</v>
      </c>
      <c r="G29" s="153">
        <v>2</v>
      </c>
      <c r="H29" s="7">
        <v>932.3</v>
      </c>
      <c r="I29" s="161">
        <v>723.29</v>
      </c>
      <c r="J29" s="161">
        <v>479.82</v>
      </c>
      <c r="K29" s="153">
        <v>30</v>
      </c>
      <c r="L29" s="159">
        <f>'виды работ '!C25</f>
        <v>129731.41</v>
      </c>
      <c r="M29" s="161">
        <v>0</v>
      </c>
      <c r="N29" s="161">
        <v>0</v>
      </c>
      <c r="O29" s="161">
        <v>0</v>
      </c>
      <c r="P29" s="161">
        <f t="shared" si="3"/>
        <v>129731.41</v>
      </c>
      <c r="Q29" s="161">
        <f t="shared" si="4"/>
        <v>139.15200042904647</v>
      </c>
      <c r="R29" s="161">
        <v>14593.7</v>
      </c>
      <c r="S29" s="4" t="s">
        <v>279</v>
      </c>
      <c r="T29" s="152" t="s">
        <v>231</v>
      </c>
      <c r="V29" s="139">
        <f>L30-'виды работ '!C26</f>
        <v>0</v>
      </c>
    </row>
    <row r="30" spans="1:22" s="138" customFormat="1" ht="12.75" x14ac:dyDescent="0.2">
      <c r="A30" s="153">
        <f t="shared" si="0"/>
        <v>16</v>
      </c>
      <c r="B30" s="5" t="s">
        <v>238</v>
      </c>
      <c r="C30" s="153">
        <v>1959</v>
      </c>
      <c r="D30" s="153"/>
      <c r="E30" s="152" t="s">
        <v>219</v>
      </c>
      <c r="F30" s="153">
        <v>3</v>
      </c>
      <c r="G30" s="153">
        <v>4</v>
      </c>
      <c r="H30" s="161">
        <v>3765.88</v>
      </c>
      <c r="I30" s="161">
        <v>1700.62</v>
      </c>
      <c r="J30" s="161">
        <v>1493.83</v>
      </c>
      <c r="K30" s="153">
        <v>68</v>
      </c>
      <c r="L30" s="159">
        <f>'виды работ '!C26</f>
        <v>1472298.7600000002</v>
      </c>
      <c r="M30" s="161">
        <v>0</v>
      </c>
      <c r="N30" s="161">
        <v>0</v>
      </c>
      <c r="O30" s="161">
        <v>0</v>
      </c>
      <c r="P30" s="161">
        <f t="shared" si="3"/>
        <v>1472298.7600000002</v>
      </c>
      <c r="Q30" s="161">
        <f t="shared" si="4"/>
        <v>390.95742827705612</v>
      </c>
      <c r="R30" s="161">
        <v>14593.7</v>
      </c>
      <c r="S30" s="4" t="s">
        <v>279</v>
      </c>
      <c r="T30" s="152" t="s">
        <v>231</v>
      </c>
      <c r="V30" s="139">
        <f>L31-'виды работ '!C27</f>
        <v>0</v>
      </c>
    </row>
    <row r="31" spans="1:22" s="138" customFormat="1" ht="12.75" x14ac:dyDescent="0.2">
      <c r="A31" s="171" t="s">
        <v>18</v>
      </c>
      <c r="B31" s="171"/>
      <c r="C31" s="159" t="s">
        <v>222</v>
      </c>
      <c r="D31" s="159" t="s">
        <v>222</v>
      </c>
      <c r="E31" s="159" t="s">
        <v>222</v>
      </c>
      <c r="F31" s="159" t="s">
        <v>222</v>
      </c>
      <c r="G31" s="159" t="s">
        <v>222</v>
      </c>
      <c r="H31" s="161">
        <f>SUM(H15:H30)</f>
        <v>47297.299999999996</v>
      </c>
      <c r="I31" s="161">
        <f t="shared" ref="I31:P31" si="5">SUM(I15:I30)</f>
        <v>30871.440000000002</v>
      </c>
      <c r="J31" s="161">
        <f t="shared" si="5"/>
        <v>25681.260000000002</v>
      </c>
      <c r="K31" s="165">
        <f t="shared" si="5"/>
        <v>948</v>
      </c>
      <c r="L31" s="161">
        <f t="shared" si="5"/>
        <v>18704376.610000003</v>
      </c>
      <c r="M31" s="161">
        <f t="shared" si="5"/>
        <v>0</v>
      </c>
      <c r="N31" s="161">
        <f t="shared" si="5"/>
        <v>0</v>
      </c>
      <c r="O31" s="161">
        <f t="shared" si="5"/>
        <v>0</v>
      </c>
      <c r="P31" s="161">
        <f t="shared" si="5"/>
        <v>18704376.610000003</v>
      </c>
      <c r="Q31" s="161">
        <f t="shared" si="4"/>
        <v>395.46394001348926</v>
      </c>
      <c r="R31" s="11" t="s">
        <v>222</v>
      </c>
      <c r="S31" s="4" t="s">
        <v>222</v>
      </c>
      <c r="T31" s="152" t="s">
        <v>222</v>
      </c>
      <c r="U31" s="139">
        <f>'виды работ '!C27</f>
        <v>18704376.610000003</v>
      </c>
      <c r="V31" s="139">
        <f>L32-'виды работ '!C28</f>
        <v>0</v>
      </c>
    </row>
    <row r="32" spans="1:22" s="138" customFormat="1" ht="15.75" customHeight="1" x14ac:dyDescent="0.2">
      <c r="A32" s="189" t="s">
        <v>121</v>
      </c>
      <c r="B32" s="189"/>
      <c r="C32" s="189"/>
      <c r="D32" s="189"/>
      <c r="E32" s="189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39"/>
      <c r="V32" s="139">
        <f>L33-'виды работ '!C29</f>
        <v>0</v>
      </c>
    </row>
    <row r="33" spans="1:22" s="138" customFormat="1" ht="12.75" x14ac:dyDescent="0.2">
      <c r="A33" s="12">
        <f>A30+1</f>
        <v>17</v>
      </c>
      <c r="B33" s="5" t="s">
        <v>239</v>
      </c>
      <c r="C33" s="152">
        <v>1976</v>
      </c>
      <c r="D33" s="152"/>
      <c r="E33" s="152" t="s">
        <v>223</v>
      </c>
      <c r="F33" s="152">
        <v>3</v>
      </c>
      <c r="G33" s="152">
        <v>4</v>
      </c>
      <c r="H33" s="159">
        <v>1241.4000000000001</v>
      </c>
      <c r="I33" s="159">
        <v>793.2</v>
      </c>
      <c r="J33" s="159">
        <v>525</v>
      </c>
      <c r="K33" s="152">
        <v>62</v>
      </c>
      <c r="L33" s="161">
        <f>'виды работ '!C29</f>
        <v>5053099.1900000004</v>
      </c>
      <c r="M33" s="161">
        <v>0</v>
      </c>
      <c r="N33" s="161">
        <v>0</v>
      </c>
      <c r="O33" s="161">
        <v>0</v>
      </c>
      <c r="P33" s="161">
        <f>L33</f>
        <v>5053099.1900000004</v>
      </c>
      <c r="Q33" s="161">
        <f>L33/H33</f>
        <v>4070.4842838730465</v>
      </c>
      <c r="R33" s="161">
        <v>14593.7</v>
      </c>
      <c r="S33" s="4" t="s">
        <v>279</v>
      </c>
      <c r="T33" s="152" t="s">
        <v>231</v>
      </c>
      <c r="U33" s="139"/>
      <c r="V33" s="139">
        <f>L34-'виды работ '!C30</f>
        <v>0</v>
      </c>
    </row>
    <row r="34" spans="1:22" s="138" customFormat="1" ht="12.75" x14ac:dyDescent="0.2">
      <c r="A34" s="12">
        <f>A33+1</f>
        <v>18</v>
      </c>
      <c r="B34" s="5" t="s">
        <v>240</v>
      </c>
      <c r="C34" s="152">
        <v>1976</v>
      </c>
      <c r="D34" s="152"/>
      <c r="E34" s="152" t="s">
        <v>219</v>
      </c>
      <c r="F34" s="152">
        <v>2</v>
      </c>
      <c r="G34" s="152">
        <v>3</v>
      </c>
      <c r="H34" s="159">
        <v>919.28</v>
      </c>
      <c r="I34" s="159">
        <v>443</v>
      </c>
      <c r="J34" s="159">
        <v>253.69</v>
      </c>
      <c r="K34" s="152">
        <v>39</v>
      </c>
      <c r="L34" s="161">
        <f>'виды работ '!C30</f>
        <v>1878642.3900000001</v>
      </c>
      <c r="M34" s="161">
        <v>0</v>
      </c>
      <c r="N34" s="161">
        <v>0</v>
      </c>
      <c r="O34" s="161">
        <v>0</v>
      </c>
      <c r="P34" s="161">
        <f>L34</f>
        <v>1878642.3900000001</v>
      </c>
      <c r="Q34" s="161">
        <f>L34/H34</f>
        <v>2043.6019384735882</v>
      </c>
      <c r="R34" s="161">
        <v>14593.7</v>
      </c>
      <c r="S34" s="4" t="s">
        <v>279</v>
      </c>
      <c r="T34" s="152" t="s">
        <v>231</v>
      </c>
      <c r="U34" s="139"/>
      <c r="V34" s="139">
        <f>L35-'виды работ '!C31</f>
        <v>0</v>
      </c>
    </row>
    <row r="35" spans="1:22" s="138" customFormat="1" ht="12.75" x14ac:dyDescent="0.2">
      <c r="A35" s="171" t="s">
        <v>18</v>
      </c>
      <c r="B35" s="171"/>
      <c r="C35" s="159" t="s">
        <v>222</v>
      </c>
      <c r="D35" s="159" t="s">
        <v>222</v>
      </c>
      <c r="E35" s="159" t="s">
        <v>222</v>
      </c>
      <c r="F35" s="159" t="s">
        <v>222</v>
      </c>
      <c r="G35" s="159" t="s">
        <v>222</v>
      </c>
      <c r="H35" s="161">
        <f>SUM(H33:H34)</f>
        <v>2160.6800000000003</v>
      </c>
      <c r="I35" s="161">
        <f t="shared" ref="I35:P35" si="6">SUM(I33:I34)</f>
        <v>1236.2</v>
      </c>
      <c r="J35" s="161">
        <f t="shared" si="6"/>
        <v>778.69</v>
      </c>
      <c r="K35" s="165">
        <f t="shared" si="6"/>
        <v>101</v>
      </c>
      <c r="L35" s="161">
        <f>SUM(L33:L34)</f>
        <v>6931741.5800000001</v>
      </c>
      <c r="M35" s="161">
        <f t="shared" si="6"/>
        <v>0</v>
      </c>
      <c r="N35" s="161">
        <f t="shared" si="6"/>
        <v>0</v>
      </c>
      <c r="O35" s="161">
        <f t="shared" si="6"/>
        <v>0</v>
      </c>
      <c r="P35" s="161">
        <f t="shared" si="6"/>
        <v>6931741.5800000001</v>
      </c>
      <c r="Q35" s="161">
        <f>L35/H35</f>
        <v>3208.1296536275613</v>
      </c>
      <c r="R35" s="11" t="s">
        <v>222</v>
      </c>
      <c r="S35" s="4" t="s">
        <v>222</v>
      </c>
      <c r="T35" s="152" t="s">
        <v>222</v>
      </c>
      <c r="U35" s="139"/>
      <c r="V35" s="139">
        <f>L36-'виды работ '!C32</f>
        <v>0</v>
      </c>
    </row>
    <row r="36" spans="1:22" s="138" customFormat="1" ht="12.75" x14ac:dyDescent="0.2">
      <c r="A36" s="189" t="s">
        <v>122</v>
      </c>
      <c r="B36" s="189"/>
      <c r="C36" s="189"/>
      <c r="D36" s="189"/>
      <c r="E36" s="189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39"/>
      <c r="V36" s="139">
        <f>L37-'виды работ '!C33</f>
        <v>0</v>
      </c>
    </row>
    <row r="37" spans="1:22" s="138" customFormat="1" ht="12.75" x14ac:dyDescent="0.2">
      <c r="A37" s="13">
        <f>A34+1</f>
        <v>19</v>
      </c>
      <c r="B37" s="14" t="s">
        <v>241</v>
      </c>
      <c r="C37" s="153">
        <v>1977</v>
      </c>
      <c r="D37" s="153"/>
      <c r="E37" s="152" t="s">
        <v>219</v>
      </c>
      <c r="F37" s="153">
        <v>3</v>
      </c>
      <c r="G37" s="153">
        <v>3</v>
      </c>
      <c r="H37" s="15">
        <v>1470</v>
      </c>
      <c r="I37" s="15">
        <v>1267.5</v>
      </c>
      <c r="J37" s="15">
        <v>913.3</v>
      </c>
      <c r="K37" s="153">
        <v>51</v>
      </c>
      <c r="L37" s="159">
        <f>'виды работ '!C33</f>
        <v>154110.42000000001</v>
      </c>
      <c r="M37" s="161">
        <v>0</v>
      </c>
      <c r="N37" s="161">
        <v>0</v>
      </c>
      <c r="O37" s="161">
        <v>0</v>
      </c>
      <c r="P37" s="161">
        <f>L37</f>
        <v>154110.42000000001</v>
      </c>
      <c r="Q37" s="161">
        <f>L37/H37</f>
        <v>104.83702040816327</v>
      </c>
      <c r="R37" s="161">
        <v>14593.7</v>
      </c>
      <c r="S37" s="4" t="s">
        <v>279</v>
      </c>
      <c r="T37" s="152" t="s">
        <v>231</v>
      </c>
      <c r="U37" s="139"/>
      <c r="V37" s="139">
        <f>L38-'виды работ '!C34</f>
        <v>0</v>
      </c>
    </row>
    <row r="38" spans="1:22" s="138" customFormat="1" ht="12.75" x14ac:dyDescent="0.2">
      <c r="A38" s="13">
        <f>A37+1</f>
        <v>20</v>
      </c>
      <c r="B38" s="14" t="s">
        <v>242</v>
      </c>
      <c r="C38" s="153">
        <v>1977</v>
      </c>
      <c r="D38" s="153"/>
      <c r="E38" s="152" t="s">
        <v>219</v>
      </c>
      <c r="F38" s="153">
        <v>3</v>
      </c>
      <c r="G38" s="153">
        <v>3</v>
      </c>
      <c r="H38" s="161">
        <v>1457</v>
      </c>
      <c r="I38" s="15">
        <v>1269.3</v>
      </c>
      <c r="J38" s="15">
        <v>1075.2</v>
      </c>
      <c r="K38" s="153">
        <v>51</v>
      </c>
      <c r="L38" s="159">
        <f>'виды работ '!C34</f>
        <v>153410.26</v>
      </c>
      <c r="M38" s="161">
        <v>0</v>
      </c>
      <c r="N38" s="161">
        <v>0</v>
      </c>
      <c r="O38" s="161">
        <v>0</v>
      </c>
      <c r="P38" s="161">
        <f>L38</f>
        <v>153410.26</v>
      </c>
      <c r="Q38" s="161">
        <f>L38/H38</f>
        <v>105.29187371310914</v>
      </c>
      <c r="R38" s="161">
        <v>14593.7</v>
      </c>
      <c r="S38" s="4" t="s">
        <v>279</v>
      </c>
      <c r="T38" s="152" t="s">
        <v>231</v>
      </c>
      <c r="U38" s="139"/>
      <c r="V38" s="139">
        <f>L39-'виды работ '!C35</f>
        <v>0</v>
      </c>
    </row>
    <row r="39" spans="1:22" s="138" customFormat="1" ht="12.75" x14ac:dyDescent="0.2">
      <c r="A39" s="13">
        <f>A38+1</f>
        <v>21</v>
      </c>
      <c r="B39" s="14" t="s">
        <v>243</v>
      </c>
      <c r="C39" s="153">
        <v>1978</v>
      </c>
      <c r="D39" s="153"/>
      <c r="E39" s="152" t="s">
        <v>219</v>
      </c>
      <c r="F39" s="153">
        <v>3</v>
      </c>
      <c r="G39" s="153">
        <v>3</v>
      </c>
      <c r="H39" s="161">
        <v>1455</v>
      </c>
      <c r="I39" s="15">
        <v>1269.3</v>
      </c>
      <c r="J39" s="15">
        <v>1037</v>
      </c>
      <c r="K39" s="153">
        <v>43</v>
      </c>
      <c r="L39" s="159">
        <f>'виды работ '!C35</f>
        <v>153302.53</v>
      </c>
      <c r="M39" s="161">
        <v>0</v>
      </c>
      <c r="N39" s="161">
        <v>0</v>
      </c>
      <c r="O39" s="161">
        <v>0</v>
      </c>
      <c r="P39" s="161">
        <f>L39</f>
        <v>153302.53</v>
      </c>
      <c r="Q39" s="161">
        <f>L39/H39</f>
        <v>105.36256357388316</v>
      </c>
      <c r="R39" s="161">
        <v>14593.7</v>
      </c>
      <c r="S39" s="4" t="s">
        <v>279</v>
      </c>
      <c r="T39" s="152" t="s">
        <v>231</v>
      </c>
      <c r="U39" s="139"/>
      <c r="V39" s="139">
        <f>L40-'виды работ '!C36</f>
        <v>0</v>
      </c>
    </row>
    <row r="40" spans="1:22" s="138" customFormat="1" ht="17.25" customHeight="1" x14ac:dyDescent="0.2">
      <c r="A40" s="171" t="s">
        <v>18</v>
      </c>
      <c r="B40" s="171"/>
      <c r="C40" s="159" t="s">
        <v>222</v>
      </c>
      <c r="D40" s="159" t="s">
        <v>222</v>
      </c>
      <c r="E40" s="159" t="s">
        <v>222</v>
      </c>
      <c r="F40" s="159" t="s">
        <v>222</v>
      </c>
      <c r="G40" s="159" t="s">
        <v>222</v>
      </c>
      <c r="H40" s="159">
        <f>SUM(H37:H39)</f>
        <v>4382</v>
      </c>
      <c r="I40" s="159">
        <f t="shared" ref="I40:P40" si="7">SUM(I37:I39)</f>
        <v>3806.1000000000004</v>
      </c>
      <c r="J40" s="159">
        <f t="shared" si="7"/>
        <v>3025.5</v>
      </c>
      <c r="K40" s="160">
        <f t="shared" si="7"/>
        <v>145</v>
      </c>
      <c r="L40" s="159">
        <f>SUM(L37:L39)</f>
        <v>460823.21000000008</v>
      </c>
      <c r="M40" s="159">
        <f t="shared" si="7"/>
        <v>0</v>
      </c>
      <c r="N40" s="159">
        <f t="shared" si="7"/>
        <v>0</v>
      </c>
      <c r="O40" s="159">
        <f t="shared" si="7"/>
        <v>0</v>
      </c>
      <c r="P40" s="159">
        <f t="shared" si="7"/>
        <v>460823.21000000008</v>
      </c>
      <c r="Q40" s="161">
        <f>L40/H40</f>
        <v>105.1627590141488</v>
      </c>
      <c r="R40" s="4" t="s">
        <v>222</v>
      </c>
      <c r="S40" s="4" t="s">
        <v>222</v>
      </c>
      <c r="T40" s="4" t="s">
        <v>222</v>
      </c>
      <c r="U40" s="139"/>
      <c r="V40" s="139">
        <f>L41-'виды работ '!C37</f>
        <v>0</v>
      </c>
    </row>
    <row r="41" spans="1:22" s="138" customFormat="1" ht="17.25" customHeight="1" x14ac:dyDescent="0.2">
      <c r="A41" s="169" t="s">
        <v>187</v>
      </c>
      <c r="B41" s="169"/>
      <c r="C41" s="169"/>
      <c r="D41" s="169"/>
      <c r="E41" s="169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39"/>
      <c r="V41" s="139">
        <f>L42-'виды работ '!C38</f>
        <v>0</v>
      </c>
    </row>
    <row r="42" spans="1:22" s="138" customFormat="1" ht="17.25" customHeight="1" x14ac:dyDescent="0.2">
      <c r="A42" s="160">
        <f>A39+1</f>
        <v>22</v>
      </c>
      <c r="B42" s="5" t="s">
        <v>250</v>
      </c>
      <c r="C42" s="153">
        <v>1988</v>
      </c>
      <c r="D42" s="153"/>
      <c r="E42" s="152" t="s">
        <v>223</v>
      </c>
      <c r="F42" s="153">
        <v>5</v>
      </c>
      <c r="G42" s="153">
        <v>5</v>
      </c>
      <c r="H42" s="153">
        <v>5332.5</v>
      </c>
      <c r="I42" s="153">
        <v>3702.7</v>
      </c>
      <c r="J42" s="153">
        <v>3452.5</v>
      </c>
      <c r="K42" s="153">
        <v>187</v>
      </c>
      <c r="L42" s="159">
        <f>'виды работ '!C38</f>
        <v>7423656.7599999998</v>
      </c>
      <c r="M42" s="161">
        <v>0</v>
      </c>
      <c r="N42" s="161">
        <v>0</v>
      </c>
      <c r="O42" s="161">
        <v>0</v>
      </c>
      <c r="P42" s="161">
        <f>L42</f>
        <v>7423656.7599999998</v>
      </c>
      <c r="Q42" s="161">
        <f>L42/H42</f>
        <v>1392.1531664322549</v>
      </c>
      <c r="R42" s="161">
        <v>14593.7</v>
      </c>
      <c r="S42" s="4" t="s">
        <v>279</v>
      </c>
      <c r="T42" s="152" t="s">
        <v>231</v>
      </c>
      <c r="U42" s="139"/>
      <c r="V42" s="139">
        <f>L43-'виды работ '!C39</f>
        <v>0</v>
      </c>
    </row>
    <row r="43" spans="1:22" s="138" customFormat="1" ht="17.25" customHeight="1" x14ac:dyDescent="0.2">
      <c r="A43" s="160">
        <f>A42+1</f>
        <v>23</v>
      </c>
      <c r="B43" s="5" t="s">
        <v>245</v>
      </c>
      <c r="C43" s="153">
        <v>1989</v>
      </c>
      <c r="D43" s="153"/>
      <c r="E43" s="152" t="s">
        <v>223</v>
      </c>
      <c r="F43" s="153">
        <v>5</v>
      </c>
      <c r="G43" s="153">
        <v>10</v>
      </c>
      <c r="H43" s="15">
        <v>11067.9</v>
      </c>
      <c r="I43" s="15">
        <v>7655.7</v>
      </c>
      <c r="J43" s="15">
        <v>6532.18</v>
      </c>
      <c r="K43" s="153">
        <v>352</v>
      </c>
      <c r="L43" s="159">
        <f>'виды работ '!C39</f>
        <v>13016434.510000002</v>
      </c>
      <c r="M43" s="161">
        <v>0</v>
      </c>
      <c r="N43" s="161">
        <v>0</v>
      </c>
      <c r="O43" s="161">
        <v>0</v>
      </c>
      <c r="P43" s="161">
        <f>L43</f>
        <v>13016434.510000002</v>
      </c>
      <c r="Q43" s="161">
        <f>L43/H43</f>
        <v>1176.0527751425295</v>
      </c>
      <c r="R43" s="161">
        <v>14593.7</v>
      </c>
      <c r="S43" s="4" t="s">
        <v>279</v>
      </c>
      <c r="T43" s="152" t="s">
        <v>231</v>
      </c>
      <c r="U43" s="139"/>
      <c r="V43" s="139">
        <f>L44-'виды работ '!C40</f>
        <v>0</v>
      </c>
    </row>
    <row r="44" spans="1:22" s="138" customFormat="1" ht="17.25" customHeight="1" x14ac:dyDescent="0.2">
      <c r="A44" s="160">
        <f t="shared" ref="A44:A49" si="8">A43+1</f>
        <v>24</v>
      </c>
      <c r="B44" s="5" t="s">
        <v>244</v>
      </c>
      <c r="C44" s="153">
        <v>1983</v>
      </c>
      <c r="D44" s="153"/>
      <c r="E44" s="152" t="s">
        <v>223</v>
      </c>
      <c r="F44" s="153">
        <v>5</v>
      </c>
      <c r="G44" s="153">
        <v>8</v>
      </c>
      <c r="H44" s="15">
        <v>5951</v>
      </c>
      <c r="I44" s="15">
        <v>5156</v>
      </c>
      <c r="J44" s="15">
        <v>5156</v>
      </c>
      <c r="K44" s="153">
        <v>159</v>
      </c>
      <c r="L44" s="159">
        <f>'виды работ '!C40</f>
        <v>8737427.6799999997</v>
      </c>
      <c r="M44" s="161">
        <v>0</v>
      </c>
      <c r="N44" s="161">
        <v>0</v>
      </c>
      <c r="O44" s="161">
        <v>0</v>
      </c>
      <c r="P44" s="161">
        <f t="shared" ref="P44:P49" si="9">L44</f>
        <v>8737427.6799999997</v>
      </c>
      <c r="Q44" s="161">
        <f t="shared" ref="Q44:Q50" si="10">L44/H44</f>
        <v>1468.2284792471853</v>
      </c>
      <c r="R44" s="161">
        <v>14593.7</v>
      </c>
      <c r="S44" s="4" t="s">
        <v>279</v>
      </c>
      <c r="T44" s="152" t="s">
        <v>231</v>
      </c>
      <c r="U44" s="139"/>
      <c r="V44" s="139">
        <f>L45-'виды работ '!C41</f>
        <v>0</v>
      </c>
    </row>
    <row r="45" spans="1:22" s="138" customFormat="1" ht="17.25" customHeight="1" x14ac:dyDescent="0.2">
      <c r="A45" s="160">
        <f t="shared" si="8"/>
        <v>25</v>
      </c>
      <c r="B45" s="5" t="s">
        <v>246</v>
      </c>
      <c r="C45" s="153">
        <v>1958</v>
      </c>
      <c r="D45" s="153"/>
      <c r="E45" s="152" t="s">
        <v>219</v>
      </c>
      <c r="F45" s="153">
        <v>3</v>
      </c>
      <c r="G45" s="153">
        <v>3</v>
      </c>
      <c r="H45" s="152">
        <v>2924.57</v>
      </c>
      <c r="I45" s="15">
        <v>1114.3900000000001</v>
      </c>
      <c r="J45" s="15">
        <v>988.27</v>
      </c>
      <c r="K45" s="153">
        <v>51</v>
      </c>
      <c r="L45" s="159">
        <f>'виды работ '!C41</f>
        <v>3636097.26</v>
      </c>
      <c r="M45" s="161">
        <v>0</v>
      </c>
      <c r="N45" s="161">
        <v>0</v>
      </c>
      <c r="O45" s="161">
        <v>0</v>
      </c>
      <c r="P45" s="161">
        <f t="shared" si="9"/>
        <v>3636097.26</v>
      </c>
      <c r="Q45" s="161">
        <f t="shared" si="10"/>
        <v>1243.2929490489198</v>
      </c>
      <c r="R45" s="161">
        <v>14593.7</v>
      </c>
      <c r="S45" s="4" t="s">
        <v>279</v>
      </c>
      <c r="T45" s="152" t="s">
        <v>231</v>
      </c>
      <c r="U45" s="139"/>
      <c r="V45" s="139">
        <f>L46-'виды работ '!C42</f>
        <v>0</v>
      </c>
    </row>
    <row r="46" spans="1:22" s="138" customFormat="1" ht="17.25" customHeight="1" x14ac:dyDescent="0.2">
      <c r="A46" s="160">
        <f t="shared" si="8"/>
        <v>26</v>
      </c>
      <c r="B46" s="5" t="s">
        <v>249</v>
      </c>
      <c r="C46" s="153">
        <v>1958</v>
      </c>
      <c r="D46" s="153"/>
      <c r="E46" s="152" t="s">
        <v>219</v>
      </c>
      <c r="F46" s="153">
        <v>3</v>
      </c>
      <c r="G46" s="153">
        <v>3</v>
      </c>
      <c r="H46" s="152">
        <v>3486.18</v>
      </c>
      <c r="I46" s="15">
        <v>1130.5</v>
      </c>
      <c r="J46" s="15">
        <v>1079.4000000000001</v>
      </c>
      <c r="K46" s="153">
        <v>40</v>
      </c>
      <c r="L46" s="159">
        <f>'виды работ '!C42</f>
        <v>2126617.9700000002</v>
      </c>
      <c r="M46" s="161">
        <v>0</v>
      </c>
      <c r="N46" s="161">
        <v>0</v>
      </c>
      <c r="O46" s="161">
        <v>0</v>
      </c>
      <c r="P46" s="161">
        <f>L46</f>
        <v>2126617.9700000002</v>
      </c>
      <c r="Q46" s="161">
        <f>L46/H46</f>
        <v>610.01381741619775</v>
      </c>
      <c r="R46" s="161">
        <v>14593.7</v>
      </c>
      <c r="S46" s="4" t="s">
        <v>279</v>
      </c>
      <c r="T46" s="152" t="s">
        <v>231</v>
      </c>
      <c r="U46" s="139"/>
      <c r="V46" s="139">
        <f>L47-'виды работ '!C43</f>
        <v>0</v>
      </c>
    </row>
    <row r="47" spans="1:22" s="138" customFormat="1" ht="17.25" customHeight="1" x14ac:dyDescent="0.2">
      <c r="A47" s="160">
        <f t="shared" si="8"/>
        <v>27</v>
      </c>
      <c r="B47" s="5" t="s">
        <v>247</v>
      </c>
      <c r="C47" s="153">
        <v>1958</v>
      </c>
      <c r="D47" s="153"/>
      <c r="E47" s="152" t="s">
        <v>219</v>
      </c>
      <c r="F47" s="153">
        <v>3</v>
      </c>
      <c r="G47" s="153">
        <v>3</v>
      </c>
      <c r="H47" s="152">
        <v>3603.17</v>
      </c>
      <c r="I47" s="15">
        <v>1159.32</v>
      </c>
      <c r="J47" s="15">
        <v>1033.3399999999999</v>
      </c>
      <c r="K47" s="153">
        <v>39</v>
      </c>
      <c r="L47" s="159">
        <f>'виды работ '!C43</f>
        <v>3274937.82</v>
      </c>
      <c r="M47" s="161">
        <v>0</v>
      </c>
      <c r="N47" s="161">
        <v>0</v>
      </c>
      <c r="O47" s="161">
        <v>0</v>
      </c>
      <c r="P47" s="161">
        <f t="shared" si="9"/>
        <v>3274937.82</v>
      </c>
      <c r="Q47" s="161">
        <f t="shared" si="10"/>
        <v>908.9046089970775</v>
      </c>
      <c r="R47" s="161">
        <v>14593.7</v>
      </c>
      <c r="S47" s="4" t="s">
        <v>279</v>
      </c>
      <c r="T47" s="152" t="s">
        <v>231</v>
      </c>
      <c r="U47" s="139"/>
      <c r="V47" s="139">
        <f>L48-'виды работ '!C44</f>
        <v>0</v>
      </c>
    </row>
    <row r="48" spans="1:22" s="138" customFormat="1" ht="17.25" customHeight="1" x14ac:dyDescent="0.2">
      <c r="A48" s="160">
        <f t="shared" si="8"/>
        <v>28</v>
      </c>
      <c r="B48" s="5" t="s">
        <v>251</v>
      </c>
      <c r="C48" s="153">
        <v>1981</v>
      </c>
      <c r="D48" s="153"/>
      <c r="E48" s="153" t="s">
        <v>224</v>
      </c>
      <c r="F48" s="153">
        <v>5</v>
      </c>
      <c r="G48" s="153">
        <v>4</v>
      </c>
      <c r="H48" s="153">
        <v>4072.1</v>
      </c>
      <c r="I48" s="153">
        <v>2824.2</v>
      </c>
      <c r="J48" s="153">
        <v>441.61</v>
      </c>
      <c r="K48" s="153">
        <v>115</v>
      </c>
      <c r="L48" s="159">
        <f>'виды работ '!C44</f>
        <v>1220342.23</v>
      </c>
      <c r="M48" s="161">
        <v>0</v>
      </c>
      <c r="N48" s="161">
        <v>0</v>
      </c>
      <c r="O48" s="161">
        <v>0</v>
      </c>
      <c r="P48" s="161">
        <f>L48</f>
        <v>1220342.23</v>
      </c>
      <c r="Q48" s="161">
        <f>L48/H48</f>
        <v>299.68375776626311</v>
      </c>
      <c r="R48" s="161">
        <v>14593.7</v>
      </c>
      <c r="S48" s="4" t="s">
        <v>279</v>
      </c>
      <c r="T48" s="152" t="s">
        <v>231</v>
      </c>
      <c r="U48" s="139"/>
      <c r="V48" s="139">
        <f>L49-'виды работ '!C45</f>
        <v>0</v>
      </c>
    </row>
    <row r="49" spans="1:22" s="138" customFormat="1" ht="17.25" customHeight="1" x14ac:dyDescent="0.2">
      <c r="A49" s="160">
        <f t="shared" si="8"/>
        <v>29</v>
      </c>
      <c r="B49" s="5" t="s">
        <v>248</v>
      </c>
      <c r="C49" s="153">
        <v>1961</v>
      </c>
      <c r="D49" s="153"/>
      <c r="E49" s="152" t="s">
        <v>219</v>
      </c>
      <c r="F49" s="153">
        <v>4</v>
      </c>
      <c r="G49" s="153">
        <v>2</v>
      </c>
      <c r="H49" s="15">
        <v>2235.12</v>
      </c>
      <c r="I49" s="15">
        <v>1246.9100000000001</v>
      </c>
      <c r="J49" s="15">
        <v>1207.31</v>
      </c>
      <c r="K49" s="153">
        <v>57</v>
      </c>
      <c r="L49" s="159">
        <f>'виды работ '!C45</f>
        <v>1577938.86</v>
      </c>
      <c r="M49" s="161">
        <v>0</v>
      </c>
      <c r="N49" s="161">
        <v>0</v>
      </c>
      <c r="O49" s="161">
        <v>0</v>
      </c>
      <c r="P49" s="161">
        <f t="shared" si="9"/>
        <v>1577938.86</v>
      </c>
      <c r="Q49" s="161">
        <f t="shared" si="10"/>
        <v>705.97500805325899</v>
      </c>
      <c r="R49" s="161">
        <v>14593.7</v>
      </c>
      <c r="S49" s="4" t="s">
        <v>279</v>
      </c>
      <c r="T49" s="152" t="s">
        <v>231</v>
      </c>
      <c r="U49" s="139"/>
      <c r="V49" s="139">
        <f>L50-'виды работ '!C46</f>
        <v>0</v>
      </c>
    </row>
    <row r="50" spans="1:22" s="138" customFormat="1" ht="17.25" customHeight="1" x14ac:dyDescent="0.2">
      <c r="A50" s="171" t="s">
        <v>18</v>
      </c>
      <c r="B50" s="171"/>
      <c r="C50" s="159" t="s">
        <v>222</v>
      </c>
      <c r="D50" s="159" t="s">
        <v>222</v>
      </c>
      <c r="E50" s="159" t="s">
        <v>222</v>
      </c>
      <c r="F50" s="159" t="s">
        <v>222</v>
      </c>
      <c r="G50" s="159" t="s">
        <v>222</v>
      </c>
      <c r="H50" s="159">
        <f>SUM(H42:H49)</f>
        <v>38672.54</v>
      </c>
      <c r="I50" s="159">
        <f t="shared" ref="I50:P50" si="11">SUM(I42:I49)</f>
        <v>23989.72</v>
      </c>
      <c r="J50" s="159">
        <f t="shared" si="11"/>
        <v>19890.610000000004</v>
      </c>
      <c r="K50" s="160">
        <f t="shared" si="11"/>
        <v>1000</v>
      </c>
      <c r="L50" s="159">
        <f>SUM(L42:L49)</f>
        <v>41013453.089999996</v>
      </c>
      <c r="M50" s="159">
        <f t="shared" si="11"/>
        <v>0</v>
      </c>
      <c r="N50" s="159">
        <f t="shared" si="11"/>
        <v>0</v>
      </c>
      <c r="O50" s="159">
        <f t="shared" si="11"/>
        <v>0</v>
      </c>
      <c r="P50" s="159">
        <f t="shared" si="11"/>
        <v>41013453.089999996</v>
      </c>
      <c r="Q50" s="161">
        <f t="shared" si="10"/>
        <v>1060.5316612252516</v>
      </c>
      <c r="R50" s="4" t="s">
        <v>222</v>
      </c>
      <c r="S50" s="4" t="s">
        <v>222</v>
      </c>
      <c r="T50" s="4" t="s">
        <v>222</v>
      </c>
      <c r="U50" s="139"/>
      <c r="V50" s="139">
        <f>L51-'виды работ '!C47</f>
        <v>0</v>
      </c>
    </row>
    <row r="51" spans="1:22" s="138" customFormat="1" ht="17.25" customHeight="1" x14ac:dyDescent="0.2">
      <c r="A51" s="173" t="s">
        <v>123</v>
      </c>
      <c r="B51" s="173"/>
      <c r="C51" s="173"/>
      <c r="D51" s="173"/>
      <c r="E51" s="17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39"/>
      <c r="V51" s="139">
        <f>L52-'виды работ '!C48</f>
        <v>0</v>
      </c>
    </row>
    <row r="52" spans="1:22" s="138" customFormat="1" ht="17.25" customHeight="1" x14ac:dyDescent="0.2">
      <c r="A52" s="160">
        <f>A49+1</f>
        <v>30</v>
      </c>
      <c r="B52" s="5" t="s">
        <v>252</v>
      </c>
      <c r="C52" s="153">
        <v>1990</v>
      </c>
      <c r="D52" s="153"/>
      <c r="E52" s="152" t="s">
        <v>223</v>
      </c>
      <c r="F52" s="153">
        <v>3</v>
      </c>
      <c r="G52" s="153">
        <v>4</v>
      </c>
      <c r="H52" s="15">
        <v>2529.9</v>
      </c>
      <c r="I52" s="15">
        <v>1692</v>
      </c>
      <c r="J52" s="15">
        <v>957</v>
      </c>
      <c r="K52" s="153">
        <v>76</v>
      </c>
      <c r="L52" s="159">
        <f>'виды работ '!C48</f>
        <v>3556819</v>
      </c>
      <c r="M52" s="161">
        <v>0</v>
      </c>
      <c r="N52" s="161">
        <v>0</v>
      </c>
      <c r="O52" s="161">
        <v>0</v>
      </c>
      <c r="P52" s="161">
        <f>L52</f>
        <v>3556819</v>
      </c>
      <c r="Q52" s="161">
        <f>L52/H52</f>
        <v>1405.9128819320922</v>
      </c>
      <c r="R52" s="161">
        <v>14593.7</v>
      </c>
      <c r="S52" s="4" t="s">
        <v>279</v>
      </c>
      <c r="T52" s="152" t="s">
        <v>231</v>
      </c>
      <c r="U52" s="139"/>
      <c r="V52" s="139">
        <f>L53-'виды работ '!C49</f>
        <v>0</v>
      </c>
    </row>
    <row r="53" spans="1:22" s="138" customFormat="1" ht="17.25" customHeight="1" x14ac:dyDescent="0.2">
      <c r="A53" s="171" t="s">
        <v>18</v>
      </c>
      <c r="B53" s="171"/>
      <c r="C53" s="159" t="s">
        <v>222</v>
      </c>
      <c r="D53" s="159" t="s">
        <v>222</v>
      </c>
      <c r="E53" s="159" t="s">
        <v>222</v>
      </c>
      <c r="F53" s="159" t="s">
        <v>222</v>
      </c>
      <c r="G53" s="159" t="s">
        <v>222</v>
      </c>
      <c r="H53" s="159">
        <f t="shared" ref="H53:P53" si="12">SUM(H52)</f>
        <v>2529.9</v>
      </c>
      <c r="I53" s="159">
        <f t="shared" si="12"/>
        <v>1692</v>
      </c>
      <c r="J53" s="159">
        <f t="shared" si="12"/>
        <v>957</v>
      </c>
      <c r="K53" s="160">
        <f t="shared" si="12"/>
        <v>76</v>
      </c>
      <c r="L53" s="159">
        <f t="shared" si="12"/>
        <v>3556819</v>
      </c>
      <c r="M53" s="159">
        <f t="shared" si="12"/>
        <v>0</v>
      </c>
      <c r="N53" s="159">
        <f t="shared" si="12"/>
        <v>0</v>
      </c>
      <c r="O53" s="159">
        <f t="shared" si="12"/>
        <v>0</v>
      </c>
      <c r="P53" s="159">
        <f t="shared" si="12"/>
        <v>3556819</v>
      </c>
      <c r="Q53" s="161">
        <f>L53/H53</f>
        <v>1405.9128819320922</v>
      </c>
      <c r="R53" s="4" t="s">
        <v>222</v>
      </c>
      <c r="S53" s="4" t="s">
        <v>222</v>
      </c>
      <c r="T53" s="4" t="s">
        <v>222</v>
      </c>
      <c r="U53" s="139"/>
      <c r="V53" s="139">
        <f>L54-'виды работ '!C50</f>
        <v>0</v>
      </c>
    </row>
    <row r="54" spans="1:22" s="230" customFormat="1" ht="21.75" customHeight="1" x14ac:dyDescent="0.2">
      <c r="A54" s="169" t="s">
        <v>124</v>
      </c>
      <c r="B54" s="169"/>
      <c r="C54" s="169"/>
      <c r="D54" s="158" t="s">
        <v>222</v>
      </c>
      <c r="E54" s="158" t="s">
        <v>222</v>
      </c>
      <c r="F54" s="158" t="s">
        <v>222</v>
      </c>
      <c r="G54" s="158" t="s">
        <v>222</v>
      </c>
      <c r="H54" s="166">
        <f>H31+H40+H35+H53+H50</f>
        <v>95042.42</v>
      </c>
      <c r="I54" s="166">
        <f t="shared" ref="I54:P54" si="13">I31+I40+I35+I53+I50</f>
        <v>61595.46</v>
      </c>
      <c r="J54" s="166">
        <f t="shared" si="13"/>
        <v>50333.060000000005</v>
      </c>
      <c r="K54" s="16">
        <f t="shared" si="13"/>
        <v>2270</v>
      </c>
      <c r="L54" s="166">
        <f>L31+L40+L35+L53+L50</f>
        <v>70667213.49000001</v>
      </c>
      <c r="M54" s="166">
        <f t="shared" si="13"/>
        <v>0</v>
      </c>
      <c r="N54" s="166">
        <f t="shared" si="13"/>
        <v>0</v>
      </c>
      <c r="O54" s="166">
        <f t="shared" si="13"/>
        <v>0</v>
      </c>
      <c r="P54" s="166">
        <f t="shared" si="13"/>
        <v>70667213.49000001</v>
      </c>
      <c r="Q54" s="166">
        <f>L54/H54</f>
        <v>743.53339792905115</v>
      </c>
      <c r="R54" s="17" t="s">
        <v>222</v>
      </c>
      <c r="S54" s="18" t="s">
        <v>222</v>
      </c>
      <c r="T54" s="156" t="s">
        <v>222</v>
      </c>
      <c r="U54" s="166"/>
      <c r="V54" s="139">
        <f>L55-'виды работ '!C51</f>
        <v>0</v>
      </c>
    </row>
    <row r="55" spans="1:22" s="138" customFormat="1" ht="17.25" customHeight="1" x14ac:dyDescent="0.2">
      <c r="A55" s="185" t="s">
        <v>125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V55" s="139">
        <f>L56-'виды работ '!C52</f>
        <v>0</v>
      </c>
    </row>
    <row r="56" spans="1:22" s="138" customFormat="1" ht="18.75" customHeight="1" x14ac:dyDescent="0.2">
      <c r="A56" s="169" t="s">
        <v>126</v>
      </c>
      <c r="B56" s="169"/>
      <c r="C56" s="169"/>
      <c r="D56" s="169"/>
      <c r="E56" s="169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V56" s="139">
        <f>L57-'виды работ '!C53</f>
        <v>0</v>
      </c>
    </row>
    <row r="57" spans="1:22" s="138" customFormat="1" ht="12.75" x14ac:dyDescent="0.2">
      <c r="A57" s="13">
        <f>A52+1</f>
        <v>31</v>
      </c>
      <c r="B57" s="5" t="s">
        <v>253</v>
      </c>
      <c r="C57" s="153">
        <v>1972</v>
      </c>
      <c r="D57" s="153"/>
      <c r="E57" s="152" t="s">
        <v>223</v>
      </c>
      <c r="F57" s="153">
        <v>5</v>
      </c>
      <c r="G57" s="153">
        <v>4</v>
      </c>
      <c r="H57" s="15">
        <v>3597</v>
      </c>
      <c r="I57" s="15">
        <v>3597</v>
      </c>
      <c r="J57" s="15">
        <v>3270</v>
      </c>
      <c r="K57" s="153">
        <v>210</v>
      </c>
      <c r="L57" s="159">
        <f>'виды работ '!C53</f>
        <v>1203311.1399999999</v>
      </c>
      <c r="M57" s="161">
        <v>0</v>
      </c>
      <c r="N57" s="161">
        <v>0</v>
      </c>
      <c r="O57" s="161">
        <v>0</v>
      </c>
      <c r="P57" s="159">
        <f>L57</f>
        <v>1203311.1399999999</v>
      </c>
      <c r="Q57" s="161">
        <f>L57/H57</f>
        <v>334.53187100361407</v>
      </c>
      <c r="R57" s="161">
        <v>14593.7</v>
      </c>
      <c r="S57" s="4" t="s">
        <v>279</v>
      </c>
      <c r="T57" s="152" t="s">
        <v>231</v>
      </c>
      <c r="V57" s="139">
        <f>L58-'виды работ '!C54</f>
        <v>0</v>
      </c>
    </row>
    <row r="58" spans="1:22" s="138" customFormat="1" ht="16.5" customHeight="1" x14ac:dyDescent="0.2">
      <c r="A58" s="171" t="s">
        <v>18</v>
      </c>
      <c r="B58" s="171"/>
      <c r="C58" s="159" t="s">
        <v>222</v>
      </c>
      <c r="D58" s="159" t="s">
        <v>222</v>
      </c>
      <c r="E58" s="159" t="s">
        <v>222</v>
      </c>
      <c r="F58" s="159" t="s">
        <v>222</v>
      </c>
      <c r="G58" s="159" t="s">
        <v>222</v>
      </c>
      <c r="H58" s="161">
        <f t="shared" ref="H58:P58" si="14">SUM(H57:H57)</f>
        <v>3597</v>
      </c>
      <c r="I58" s="161">
        <f t="shared" si="14"/>
        <v>3597</v>
      </c>
      <c r="J58" s="161">
        <f t="shared" si="14"/>
        <v>3270</v>
      </c>
      <c r="K58" s="153">
        <f t="shared" si="14"/>
        <v>210</v>
      </c>
      <c r="L58" s="161">
        <f t="shared" si="14"/>
        <v>1203311.1399999999</v>
      </c>
      <c r="M58" s="161">
        <f t="shared" si="14"/>
        <v>0</v>
      </c>
      <c r="N58" s="161">
        <f t="shared" si="14"/>
        <v>0</v>
      </c>
      <c r="O58" s="161">
        <f t="shared" si="14"/>
        <v>0</v>
      </c>
      <c r="P58" s="161">
        <f t="shared" si="14"/>
        <v>1203311.1399999999</v>
      </c>
      <c r="Q58" s="161">
        <f>L58/H58</f>
        <v>334.53187100361407</v>
      </c>
      <c r="R58" s="11" t="s">
        <v>222</v>
      </c>
      <c r="S58" s="4" t="s">
        <v>222</v>
      </c>
      <c r="T58" s="152" t="s">
        <v>222</v>
      </c>
      <c r="U58" s="139"/>
      <c r="V58" s="139">
        <f>L59-'виды работ '!C55</f>
        <v>0</v>
      </c>
    </row>
    <row r="59" spans="1:22" s="138" customFormat="1" ht="15.75" customHeight="1" x14ac:dyDescent="0.2">
      <c r="A59" s="169" t="s">
        <v>127</v>
      </c>
      <c r="B59" s="169"/>
      <c r="C59" s="169"/>
      <c r="D59" s="169"/>
      <c r="E59" s="169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39"/>
      <c r="V59" s="139">
        <f>L60-'виды работ '!C56</f>
        <v>0</v>
      </c>
    </row>
    <row r="60" spans="1:22" s="138" customFormat="1" ht="12.75" x14ac:dyDescent="0.2">
      <c r="A60" s="12">
        <f>A57+1</f>
        <v>32</v>
      </c>
      <c r="B60" s="5" t="s">
        <v>254</v>
      </c>
      <c r="C60" s="19">
        <v>1980</v>
      </c>
      <c r="D60" s="19"/>
      <c r="E60" s="152" t="s">
        <v>223</v>
      </c>
      <c r="F60" s="19">
        <v>5</v>
      </c>
      <c r="G60" s="19">
        <v>6</v>
      </c>
      <c r="H60" s="20">
        <v>6648.34</v>
      </c>
      <c r="I60" s="152">
        <v>4828.04</v>
      </c>
      <c r="J60" s="20">
        <v>4586.6400000000003</v>
      </c>
      <c r="K60" s="21">
        <v>247</v>
      </c>
      <c r="L60" s="161">
        <f>'виды работ '!C56</f>
        <v>9248388.9800000004</v>
      </c>
      <c r="M60" s="161">
        <v>0</v>
      </c>
      <c r="N60" s="161">
        <v>0</v>
      </c>
      <c r="O60" s="161">
        <v>0</v>
      </c>
      <c r="P60" s="159">
        <f>L60</f>
        <v>9248388.9800000004</v>
      </c>
      <c r="Q60" s="161">
        <f>L60/H60</f>
        <v>1391.0824326072373</v>
      </c>
      <c r="R60" s="161">
        <v>14593.7</v>
      </c>
      <c r="S60" s="4" t="s">
        <v>279</v>
      </c>
      <c r="T60" s="152" t="s">
        <v>231</v>
      </c>
      <c r="U60" s="139"/>
      <c r="V60" s="139">
        <f>L61-'виды работ '!C57</f>
        <v>0</v>
      </c>
    </row>
    <row r="61" spans="1:22" s="138" customFormat="1" ht="12.75" x14ac:dyDescent="0.2">
      <c r="A61" s="12">
        <f>A60+1</f>
        <v>33</v>
      </c>
      <c r="B61" s="5" t="s">
        <v>256</v>
      </c>
      <c r="C61" s="19">
        <v>1964</v>
      </c>
      <c r="D61" s="19"/>
      <c r="E61" s="152" t="s">
        <v>219</v>
      </c>
      <c r="F61" s="19">
        <v>4</v>
      </c>
      <c r="G61" s="19">
        <v>2</v>
      </c>
      <c r="H61" s="20">
        <v>2176.54</v>
      </c>
      <c r="I61" s="152">
        <v>1739.16</v>
      </c>
      <c r="J61" s="20">
        <v>1042.1400000000001</v>
      </c>
      <c r="K61" s="21">
        <v>60</v>
      </c>
      <c r="L61" s="161">
        <f>'виды работ '!C57</f>
        <v>4729937.37</v>
      </c>
      <c r="M61" s="161">
        <v>0</v>
      </c>
      <c r="N61" s="161">
        <v>0</v>
      </c>
      <c r="O61" s="161">
        <v>0</v>
      </c>
      <c r="P61" s="159">
        <f>L61</f>
        <v>4729937.37</v>
      </c>
      <c r="Q61" s="161">
        <f>L61/H61</f>
        <v>2173.1451615867386</v>
      </c>
      <c r="R61" s="161">
        <v>14593.7</v>
      </c>
      <c r="S61" s="4" t="s">
        <v>279</v>
      </c>
      <c r="T61" s="152" t="s">
        <v>231</v>
      </c>
      <c r="U61" s="139"/>
      <c r="V61" s="139">
        <f>L62-'виды работ '!C58</f>
        <v>0</v>
      </c>
    </row>
    <row r="62" spans="1:22" s="138" customFormat="1" ht="12.75" x14ac:dyDescent="0.2">
      <c r="A62" s="171" t="s">
        <v>18</v>
      </c>
      <c r="B62" s="171"/>
      <c r="C62" s="159" t="s">
        <v>222</v>
      </c>
      <c r="D62" s="159" t="s">
        <v>222</v>
      </c>
      <c r="E62" s="159" t="s">
        <v>222</v>
      </c>
      <c r="F62" s="159" t="s">
        <v>222</v>
      </c>
      <c r="G62" s="159" t="s">
        <v>222</v>
      </c>
      <c r="H62" s="22">
        <f>SUM(H60:H61)</f>
        <v>8824.880000000001</v>
      </c>
      <c r="I62" s="22">
        <f t="shared" ref="I62:P62" si="15">SUM(I60:I61)</f>
        <v>6567.2</v>
      </c>
      <c r="J62" s="22">
        <f t="shared" si="15"/>
        <v>5628.7800000000007</v>
      </c>
      <c r="K62" s="23">
        <f t="shared" si="15"/>
        <v>307</v>
      </c>
      <c r="L62" s="22">
        <f>SUM(L60:L61)</f>
        <v>13978326.350000001</v>
      </c>
      <c r="M62" s="22">
        <f t="shared" si="15"/>
        <v>0</v>
      </c>
      <c r="N62" s="22">
        <f t="shared" si="15"/>
        <v>0</v>
      </c>
      <c r="O62" s="22">
        <f t="shared" si="15"/>
        <v>0</v>
      </c>
      <c r="P62" s="22">
        <f t="shared" si="15"/>
        <v>13978326.350000001</v>
      </c>
      <c r="Q62" s="161">
        <f>L62/H62</f>
        <v>1583.9678669851601</v>
      </c>
      <c r="R62" s="11" t="s">
        <v>222</v>
      </c>
      <c r="S62" s="4" t="s">
        <v>222</v>
      </c>
      <c r="T62" s="152" t="s">
        <v>222</v>
      </c>
      <c r="U62" s="139"/>
      <c r="V62" s="139">
        <f>L63-'виды работ '!C59</f>
        <v>0</v>
      </c>
    </row>
    <row r="63" spans="1:22" s="138" customFormat="1" ht="15.75" customHeight="1" x14ac:dyDescent="0.2">
      <c r="A63" s="169" t="s">
        <v>128</v>
      </c>
      <c r="B63" s="169"/>
      <c r="C63" s="169"/>
      <c r="D63" s="169"/>
      <c r="E63" s="169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39"/>
      <c r="V63" s="139">
        <f>L64-'виды работ '!C60</f>
        <v>0</v>
      </c>
    </row>
    <row r="64" spans="1:22" s="138" customFormat="1" ht="12.75" x14ac:dyDescent="0.2">
      <c r="A64" s="13">
        <f>A61+1</f>
        <v>34</v>
      </c>
      <c r="B64" s="5" t="s">
        <v>257</v>
      </c>
      <c r="C64" s="153">
        <v>1971</v>
      </c>
      <c r="D64" s="153"/>
      <c r="E64" s="152" t="s">
        <v>223</v>
      </c>
      <c r="F64" s="153">
        <v>5</v>
      </c>
      <c r="G64" s="153">
        <v>4</v>
      </c>
      <c r="H64" s="153">
        <v>2608.6999999999998</v>
      </c>
      <c r="I64" s="153">
        <v>2608.6999999999998</v>
      </c>
      <c r="J64" s="15">
        <v>2188</v>
      </c>
      <c r="K64" s="153">
        <v>123</v>
      </c>
      <c r="L64" s="159">
        <f>'виды работ '!C60</f>
        <v>1734558.51</v>
      </c>
      <c r="M64" s="161">
        <v>0</v>
      </c>
      <c r="N64" s="161">
        <v>0</v>
      </c>
      <c r="O64" s="161">
        <v>0</v>
      </c>
      <c r="P64" s="159">
        <f>L64</f>
        <v>1734558.51</v>
      </c>
      <c r="Q64" s="161">
        <f>L64/H64</f>
        <v>664.91298731168786</v>
      </c>
      <c r="R64" s="161">
        <v>14593.7</v>
      </c>
      <c r="S64" s="4" t="s">
        <v>279</v>
      </c>
      <c r="T64" s="152" t="s">
        <v>231</v>
      </c>
      <c r="U64" s="139"/>
      <c r="V64" s="139">
        <f>L65-'виды работ '!C61</f>
        <v>0</v>
      </c>
    </row>
    <row r="65" spans="1:22" s="138" customFormat="1" ht="12.75" x14ac:dyDescent="0.2">
      <c r="A65" s="171" t="s">
        <v>18</v>
      </c>
      <c r="B65" s="171"/>
      <c r="C65" s="159" t="s">
        <v>222</v>
      </c>
      <c r="D65" s="159" t="s">
        <v>222</v>
      </c>
      <c r="E65" s="159" t="s">
        <v>222</v>
      </c>
      <c r="F65" s="159" t="s">
        <v>222</v>
      </c>
      <c r="G65" s="159" t="s">
        <v>222</v>
      </c>
      <c r="H65" s="161">
        <f t="shared" ref="H65:Q65" si="16">SUM(H64:H64)</f>
        <v>2608.6999999999998</v>
      </c>
      <c r="I65" s="161">
        <f t="shared" si="16"/>
        <v>2608.6999999999998</v>
      </c>
      <c r="J65" s="161">
        <f t="shared" si="16"/>
        <v>2188</v>
      </c>
      <c r="K65" s="165">
        <f t="shared" si="16"/>
        <v>123</v>
      </c>
      <c r="L65" s="161">
        <f t="shared" si="16"/>
        <v>1734558.51</v>
      </c>
      <c r="M65" s="161">
        <f t="shared" si="16"/>
        <v>0</v>
      </c>
      <c r="N65" s="161">
        <f t="shared" si="16"/>
        <v>0</v>
      </c>
      <c r="O65" s="161">
        <f t="shared" si="16"/>
        <v>0</v>
      </c>
      <c r="P65" s="161">
        <f t="shared" si="16"/>
        <v>1734558.51</v>
      </c>
      <c r="Q65" s="161">
        <f t="shared" si="16"/>
        <v>664.91298731168786</v>
      </c>
      <c r="R65" s="11" t="s">
        <v>222</v>
      </c>
      <c r="S65" s="4" t="s">
        <v>222</v>
      </c>
      <c r="T65" s="152" t="s">
        <v>222</v>
      </c>
      <c r="U65" s="139"/>
      <c r="V65" s="139">
        <f>L66-'виды работ '!C62</f>
        <v>0</v>
      </c>
    </row>
    <row r="66" spans="1:22" s="138" customFormat="1" ht="12.75" x14ac:dyDescent="0.2">
      <c r="A66" s="197" t="s">
        <v>129</v>
      </c>
      <c r="B66" s="197"/>
      <c r="C66" s="197"/>
      <c r="D66" s="197"/>
      <c r="E66" s="19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39"/>
      <c r="V66" s="139">
        <f>L67-'виды работ '!C63</f>
        <v>0</v>
      </c>
    </row>
    <row r="67" spans="1:22" s="138" customFormat="1" ht="12.75" x14ac:dyDescent="0.2">
      <c r="A67" s="160">
        <f>A64+1</f>
        <v>35</v>
      </c>
      <c r="B67" s="5" t="s">
        <v>258</v>
      </c>
      <c r="C67" s="152">
        <v>1974</v>
      </c>
      <c r="D67" s="153"/>
      <c r="E67" s="152" t="s">
        <v>223</v>
      </c>
      <c r="F67" s="153">
        <v>5</v>
      </c>
      <c r="G67" s="153">
        <v>4</v>
      </c>
      <c r="H67" s="15">
        <v>2714.7</v>
      </c>
      <c r="I67" s="15">
        <v>2714.7</v>
      </c>
      <c r="J67" s="15">
        <v>2269</v>
      </c>
      <c r="K67" s="152">
        <v>161</v>
      </c>
      <c r="L67" s="161">
        <f>'виды работ '!C63</f>
        <v>1680132.92</v>
      </c>
      <c r="M67" s="161">
        <v>0</v>
      </c>
      <c r="N67" s="161">
        <v>0</v>
      </c>
      <c r="O67" s="161">
        <v>0</v>
      </c>
      <c r="P67" s="159">
        <f>L67</f>
        <v>1680132.92</v>
      </c>
      <c r="Q67" s="161">
        <f>L67/H67</f>
        <v>618.90187497697718</v>
      </c>
      <c r="R67" s="161">
        <v>14593.7</v>
      </c>
      <c r="S67" s="4" t="s">
        <v>279</v>
      </c>
      <c r="T67" s="152" t="s">
        <v>231</v>
      </c>
      <c r="U67" s="139"/>
      <c r="V67" s="139">
        <f>L68-'виды работ '!C64</f>
        <v>0</v>
      </c>
    </row>
    <row r="68" spans="1:22" s="138" customFormat="1" ht="12.75" x14ac:dyDescent="0.2">
      <c r="A68" s="160">
        <f>A67+1</f>
        <v>36</v>
      </c>
      <c r="B68" s="5" t="s">
        <v>259</v>
      </c>
      <c r="C68" s="152">
        <v>1974</v>
      </c>
      <c r="D68" s="153"/>
      <c r="E68" s="152" t="s">
        <v>223</v>
      </c>
      <c r="F68" s="153">
        <v>5</v>
      </c>
      <c r="G68" s="153">
        <v>4</v>
      </c>
      <c r="H68" s="15">
        <v>2597.1999999999998</v>
      </c>
      <c r="I68" s="15">
        <v>2597.1999999999998</v>
      </c>
      <c r="J68" s="15">
        <v>2159</v>
      </c>
      <c r="K68" s="152">
        <v>143</v>
      </c>
      <c r="L68" s="161">
        <f>'виды работ '!C64</f>
        <v>1680132.92</v>
      </c>
      <c r="M68" s="161">
        <v>0</v>
      </c>
      <c r="N68" s="161">
        <v>0</v>
      </c>
      <c r="O68" s="161">
        <v>0</v>
      </c>
      <c r="P68" s="159">
        <f>L68</f>
        <v>1680132.92</v>
      </c>
      <c r="Q68" s="161">
        <f>L68/H68</f>
        <v>646.90163252733714</v>
      </c>
      <c r="R68" s="161">
        <v>14593.7</v>
      </c>
      <c r="S68" s="4" t="s">
        <v>279</v>
      </c>
      <c r="T68" s="152" t="s">
        <v>231</v>
      </c>
      <c r="U68" s="139"/>
      <c r="V68" s="139">
        <f>L69-'виды работ '!C65</f>
        <v>0</v>
      </c>
    </row>
    <row r="69" spans="1:22" s="138" customFormat="1" ht="12.75" x14ac:dyDescent="0.2">
      <c r="A69" s="160">
        <f>A68+1</f>
        <v>37</v>
      </c>
      <c r="B69" s="5" t="s">
        <v>260</v>
      </c>
      <c r="C69" s="152">
        <v>1969</v>
      </c>
      <c r="D69" s="153"/>
      <c r="E69" s="152" t="s">
        <v>219</v>
      </c>
      <c r="F69" s="153">
        <v>4</v>
      </c>
      <c r="G69" s="153">
        <v>4</v>
      </c>
      <c r="H69" s="15">
        <v>2485.6999999999998</v>
      </c>
      <c r="I69" s="15">
        <v>2485.6999999999998</v>
      </c>
      <c r="J69" s="15">
        <v>1916</v>
      </c>
      <c r="K69" s="152">
        <v>110</v>
      </c>
      <c r="L69" s="161">
        <f>'виды работ '!C65</f>
        <v>7934714</v>
      </c>
      <c r="M69" s="161">
        <v>0</v>
      </c>
      <c r="N69" s="161">
        <v>0</v>
      </c>
      <c r="O69" s="161">
        <v>0</v>
      </c>
      <c r="P69" s="159">
        <f>L69</f>
        <v>7934714</v>
      </c>
      <c r="Q69" s="161">
        <f>L69/H69</f>
        <v>3192.1446674980893</v>
      </c>
      <c r="R69" s="161">
        <v>14593.7</v>
      </c>
      <c r="S69" s="4" t="s">
        <v>279</v>
      </c>
      <c r="T69" s="152" t="s">
        <v>231</v>
      </c>
      <c r="U69" s="139"/>
      <c r="V69" s="139">
        <f>L70-'виды работ '!C66</f>
        <v>0</v>
      </c>
    </row>
    <row r="70" spans="1:22" s="138" customFormat="1" ht="12.75" x14ac:dyDescent="0.2">
      <c r="A70" s="171" t="s">
        <v>18</v>
      </c>
      <c r="B70" s="171"/>
      <c r="C70" s="159" t="s">
        <v>222</v>
      </c>
      <c r="D70" s="159" t="s">
        <v>222</v>
      </c>
      <c r="E70" s="159" t="s">
        <v>222</v>
      </c>
      <c r="F70" s="159" t="s">
        <v>222</v>
      </c>
      <c r="G70" s="159" t="s">
        <v>222</v>
      </c>
      <c r="H70" s="161">
        <f>SUM(H67:H69)</f>
        <v>7797.5999999999995</v>
      </c>
      <c r="I70" s="161">
        <f t="shared" ref="I70:P70" si="17">SUM(I67:I69)</f>
        <v>7797.5999999999995</v>
      </c>
      <c r="J70" s="161">
        <f t="shared" si="17"/>
        <v>6344</v>
      </c>
      <c r="K70" s="165">
        <f t="shared" si="17"/>
        <v>414</v>
      </c>
      <c r="L70" s="161">
        <f>SUM(L67:L69)</f>
        <v>11294979.84</v>
      </c>
      <c r="M70" s="161">
        <f t="shared" si="17"/>
        <v>0</v>
      </c>
      <c r="N70" s="161">
        <f t="shared" si="17"/>
        <v>0</v>
      </c>
      <c r="O70" s="161">
        <f t="shared" si="17"/>
        <v>0</v>
      </c>
      <c r="P70" s="161">
        <f t="shared" si="17"/>
        <v>11294979.84</v>
      </c>
      <c r="Q70" s="161">
        <f>L70/H70</f>
        <v>1448.5200369344414</v>
      </c>
      <c r="R70" s="11" t="s">
        <v>222</v>
      </c>
      <c r="S70" s="4" t="s">
        <v>222</v>
      </c>
      <c r="T70" s="152" t="s">
        <v>222</v>
      </c>
      <c r="U70" s="139"/>
      <c r="V70" s="139">
        <f>L71-'виды работ '!C67</f>
        <v>0</v>
      </c>
    </row>
    <row r="71" spans="1:22" s="138" customFormat="1" ht="12.75" x14ac:dyDescent="0.2">
      <c r="A71" s="197" t="s">
        <v>130</v>
      </c>
      <c r="B71" s="197"/>
      <c r="C71" s="197"/>
      <c r="D71" s="197"/>
      <c r="E71" s="19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39"/>
      <c r="V71" s="139">
        <f>L72-'виды работ '!C68</f>
        <v>0</v>
      </c>
    </row>
    <row r="72" spans="1:22" s="138" customFormat="1" ht="12.75" x14ac:dyDescent="0.2">
      <c r="A72" s="160">
        <f>A69+1</f>
        <v>38</v>
      </c>
      <c r="B72" s="24" t="s">
        <v>261</v>
      </c>
      <c r="C72" s="153">
        <v>1977</v>
      </c>
      <c r="D72" s="153"/>
      <c r="E72" s="152" t="s">
        <v>219</v>
      </c>
      <c r="F72" s="153">
        <v>3</v>
      </c>
      <c r="G72" s="153">
        <v>2</v>
      </c>
      <c r="H72" s="20">
        <v>1274.4000000000001</v>
      </c>
      <c r="I72" s="20">
        <v>743.4</v>
      </c>
      <c r="J72" s="20">
        <v>587.29</v>
      </c>
      <c r="K72" s="21">
        <v>65</v>
      </c>
      <c r="L72" s="161">
        <f>'виды работ '!C68</f>
        <v>1611880.38</v>
      </c>
      <c r="M72" s="161">
        <v>0</v>
      </c>
      <c r="N72" s="161">
        <v>0</v>
      </c>
      <c r="O72" s="161">
        <v>0</v>
      </c>
      <c r="P72" s="159">
        <f>L72</f>
        <v>1611880.38</v>
      </c>
      <c r="Q72" s="161">
        <f>L72/H72</f>
        <v>1264.8151129943501</v>
      </c>
      <c r="R72" s="161">
        <v>14593.7</v>
      </c>
      <c r="S72" s="4" t="s">
        <v>279</v>
      </c>
      <c r="T72" s="152" t="s">
        <v>231</v>
      </c>
      <c r="U72" s="139"/>
      <c r="V72" s="139">
        <f>L73-'виды работ '!C69</f>
        <v>0</v>
      </c>
    </row>
    <row r="73" spans="1:22" s="138" customFormat="1" ht="12.75" x14ac:dyDescent="0.2">
      <c r="A73" s="171" t="s">
        <v>18</v>
      </c>
      <c r="B73" s="171"/>
      <c r="C73" s="159" t="s">
        <v>222</v>
      </c>
      <c r="D73" s="159" t="s">
        <v>222</v>
      </c>
      <c r="E73" s="159" t="s">
        <v>222</v>
      </c>
      <c r="F73" s="159" t="s">
        <v>222</v>
      </c>
      <c r="G73" s="159" t="s">
        <v>222</v>
      </c>
      <c r="H73" s="161">
        <f>SUM(H72)</f>
        <v>1274.4000000000001</v>
      </c>
      <c r="I73" s="161">
        <f t="shared" ref="I73:P73" si="18">SUM(I72)</f>
        <v>743.4</v>
      </c>
      <c r="J73" s="161">
        <f t="shared" si="18"/>
        <v>587.29</v>
      </c>
      <c r="K73" s="165">
        <f t="shared" si="18"/>
        <v>65</v>
      </c>
      <c r="L73" s="161">
        <f t="shared" si="18"/>
        <v>1611880.38</v>
      </c>
      <c r="M73" s="161">
        <f t="shared" si="18"/>
        <v>0</v>
      </c>
      <c r="N73" s="161">
        <f t="shared" si="18"/>
        <v>0</v>
      </c>
      <c r="O73" s="161">
        <f t="shared" si="18"/>
        <v>0</v>
      </c>
      <c r="P73" s="161">
        <f t="shared" si="18"/>
        <v>1611880.38</v>
      </c>
      <c r="Q73" s="161">
        <f>L73/H73</f>
        <v>1264.8151129943501</v>
      </c>
      <c r="R73" s="11" t="s">
        <v>222</v>
      </c>
      <c r="S73" s="4" t="s">
        <v>222</v>
      </c>
      <c r="T73" s="152" t="s">
        <v>222</v>
      </c>
      <c r="U73" s="139"/>
      <c r="V73" s="139">
        <f>L74-'виды работ '!C70</f>
        <v>0</v>
      </c>
    </row>
    <row r="74" spans="1:22" s="138" customFormat="1" ht="15.75" customHeight="1" x14ac:dyDescent="0.2">
      <c r="A74" s="168" t="s">
        <v>131</v>
      </c>
      <c r="B74" s="168"/>
      <c r="C74" s="168"/>
      <c r="D74" s="168"/>
      <c r="E74" s="168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39"/>
      <c r="V74" s="139">
        <f>L75-'виды работ '!C71</f>
        <v>0</v>
      </c>
    </row>
    <row r="75" spans="1:22" s="138" customFormat="1" ht="12.75" x14ac:dyDescent="0.2">
      <c r="A75" s="12">
        <f>A72+1</f>
        <v>39</v>
      </c>
      <c r="B75" s="5" t="s">
        <v>262</v>
      </c>
      <c r="C75" s="153">
        <v>1980</v>
      </c>
      <c r="D75" s="153"/>
      <c r="E75" s="152" t="s">
        <v>223</v>
      </c>
      <c r="F75" s="153">
        <v>5</v>
      </c>
      <c r="G75" s="153">
        <v>6</v>
      </c>
      <c r="H75" s="15">
        <v>4865</v>
      </c>
      <c r="I75" s="15">
        <v>4865</v>
      </c>
      <c r="J75" s="15">
        <v>2840</v>
      </c>
      <c r="K75" s="153">
        <v>201</v>
      </c>
      <c r="L75" s="159">
        <f>'виды работ '!C71</f>
        <v>969979.9</v>
      </c>
      <c r="M75" s="161">
        <v>0</v>
      </c>
      <c r="N75" s="161">
        <v>0</v>
      </c>
      <c r="O75" s="161">
        <v>0</v>
      </c>
      <c r="P75" s="159">
        <f>L75</f>
        <v>969979.9</v>
      </c>
      <c r="Q75" s="161">
        <f>L75/H75</f>
        <v>199.37921891058582</v>
      </c>
      <c r="R75" s="161">
        <v>14593.7</v>
      </c>
      <c r="S75" s="4" t="s">
        <v>279</v>
      </c>
      <c r="T75" s="152" t="s">
        <v>231</v>
      </c>
      <c r="U75" s="139"/>
      <c r="V75" s="139">
        <f>L76-'виды работ '!C72</f>
        <v>0</v>
      </c>
    </row>
    <row r="76" spans="1:22" s="138" customFormat="1" ht="12.75" x14ac:dyDescent="0.2">
      <c r="A76" s="171" t="s">
        <v>18</v>
      </c>
      <c r="B76" s="171"/>
      <c r="C76" s="159" t="s">
        <v>222</v>
      </c>
      <c r="D76" s="159" t="s">
        <v>222</v>
      </c>
      <c r="E76" s="159" t="s">
        <v>222</v>
      </c>
      <c r="F76" s="159" t="s">
        <v>222</v>
      </c>
      <c r="G76" s="159" t="s">
        <v>222</v>
      </c>
      <c r="H76" s="161">
        <f>SUM(H75)</f>
        <v>4865</v>
      </c>
      <c r="I76" s="161">
        <f t="shared" ref="I76:P76" si="19">SUM(I75)</f>
        <v>4865</v>
      </c>
      <c r="J76" s="161">
        <f t="shared" si="19"/>
        <v>2840</v>
      </c>
      <c r="K76" s="165">
        <f t="shared" si="19"/>
        <v>201</v>
      </c>
      <c r="L76" s="161">
        <f t="shared" si="19"/>
        <v>969979.9</v>
      </c>
      <c r="M76" s="161">
        <f t="shared" si="19"/>
        <v>0</v>
      </c>
      <c r="N76" s="161">
        <f t="shared" si="19"/>
        <v>0</v>
      </c>
      <c r="O76" s="161">
        <f t="shared" si="19"/>
        <v>0</v>
      </c>
      <c r="P76" s="161">
        <f t="shared" si="19"/>
        <v>969979.9</v>
      </c>
      <c r="Q76" s="161">
        <f>L76/H76</f>
        <v>199.37921891058582</v>
      </c>
      <c r="R76" s="11" t="s">
        <v>222</v>
      </c>
      <c r="S76" s="4" t="s">
        <v>222</v>
      </c>
      <c r="T76" s="152" t="s">
        <v>222</v>
      </c>
      <c r="U76" s="139"/>
      <c r="V76" s="139">
        <f>L77-'виды работ '!C73</f>
        <v>0</v>
      </c>
    </row>
    <row r="77" spans="1:22" s="230" customFormat="1" ht="12.75" x14ac:dyDescent="0.2">
      <c r="A77" s="169" t="s">
        <v>132</v>
      </c>
      <c r="B77" s="169"/>
      <c r="C77" s="169"/>
      <c r="D77" s="158" t="s">
        <v>222</v>
      </c>
      <c r="E77" s="158" t="s">
        <v>222</v>
      </c>
      <c r="F77" s="158" t="s">
        <v>222</v>
      </c>
      <c r="G77" s="158" t="s">
        <v>222</v>
      </c>
      <c r="H77" s="166">
        <f>H58+H62+H65+H76+H70+H73</f>
        <v>28967.58</v>
      </c>
      <c r="I77" s="166">
        <f t="shared" ref="I77:P77" si="20">I58+I62+I65+I76+I70+I73</f>
        <v>26178.9</v>
      </c>
      <c r="J77" s="166">
        <f t="shared" si="20"/>
        <v>20858.07</v>
      </c>
      <c r="K77" s="16">
        <f t="shared" si="20"/>
        <v>1320</v>
      </c>
      <c r="L77" s="166">
        <f>L58+L62+L65+L76+L70+L73</f>
        <v>30793036.120000001</v>
      </c>
      <c r="M77" s="166">
        <f t="shared" si="20"/>
        <v>0</v>
      </c>
      <c r="N77" s="166">
        <f t="shared" si="20"/>
        <v>0</v>
      </c>
      <c r="O77" s="166">
        <f t="shared" si="20"/>
        <v>0</v>
      </c>
      <c r="P77" s="166">
        <f t="shared" si="20"/>
        <v>30793036.120000001</v>
      </c>
      <c r="Q77" s="166">
        <f>L77/H77</f>
        <v>1063.0172116552367</v>
      </c>
      <c r="R77" s="17" t="s">
        <v>222</v>
      </c>
      <c r="S77" s="18" t="s">
        <v>222</v>
      </c>
      <c r="T77" s="156" t="s">
        <v>222</v>
      </c>
      <c r="U77" s="166"/>
      <c r="V77" s="139">
        <f>L78-'виды работ '!C74</f>
        <v>0</v>
      </c>
    </row>
    <row r="78" spans="1:22" s="138" customFormat="1" ht="15" customHeight="1" x14ac:dyDescent="0.2">
      <c r="A78" s="193" t="s">
        <v>16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21"/>
      <c r="V78" s="139">
        <f>L79-'виды работ '!C75</f>
        <v>0</v>
      </c>
    </row>
    <row r="79" spans="1:22" s="138" customFormat="1" ht="15" customHeight="1" x14ac:dyDescent="0.2">
      <c r="A79" s="194" t="s">
        <v>17</v>
      </c>
      <c r="B79" s="194"/>
      <c r="C79" s="194"/>
      <c r="D79" s="194"/>
      <c r="E79" s="194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21"/>
      <c r="V79" s="139">
        <f>L80-'виды работ '!C76</f>
        <v>0</v>
      </c>
    </row>
    <row r="80" spans="1:22" s="138" customFormat="1" ht="15" customHeight="1" x14ac:dyDescent="0.2">
      <c r="A80" s="12">
        <f>A75+1</f>
        <v>40</v>
      </c>
      <c r="B80" s="5" t="s">
        <v>264</v>
      </c>
      <c r="C80" s="153">
        <v>1979</v>
      </c>
      <c r="D80" s="153" t="s">
        <v>225</v>
      </c>
      <c r="E80" s="152" t="s">
        <v>223</v>
      </c>
      <c r="F80" s="153">
        <v>5</v>
      </c>
      <c r="G80" s="153">
        <v>4</v>
      </c>
      <c r="H80" s="153">
        <v>3126.7</v>
      </c>
      <c r="I80" s="153">
        <v>3126.7</v>
      </c>
      <c r="J80" s="153">
        <v>1781.5</v>
      </c>
      <c r="K80" s="153">
        <v>145</v>
      </c>
      <c r="L80" s="161">
        <f>'виды работ '!C76</f>
        <v>3637903.88</v>
      </c>
      <c r="M80" s="161">
        <v>0</v>
      </c>
      <c r="N80" s="161">
        <v>0</v>
      </c>
      <c r="O80" s="161">
        <v>0</v>
      </c>
      <c r="P80" s="159">
        <f>L80</f>
        <v>3637903.88</v>
      </c>
      <c r="Q80" s="161">
        <f>L80/H80</f>
        <v>1163.4962996130105</v>
      </c>
      <c r="R80" s="161">
        <v>14593.7</v>
      </c>
      <c r="S80" s="4" t="s">
        <v>279</v>
      </c>
      <c r="T80" s="152" t="s">
        <v>231</v>
      </c>
      <c r="U80" s="121"/>
      <c r="V80" s="139">
        <f>L81-'виды работ '!C77</f>
        <v>0</v>
      </c>
    </row>
    <row r="81" spans="1:22" s="138" customFormat="1" ht="15" customHeight="1" x14ac:dyDescent="0.2">
      <c r="A81" s="12">
        <f>A80+1</f>
        <v>41</v>
      </c>
      <c r="B81" s="5" t="s">
        <v>265</v>
      </c>
      <c r="C81" s="153">
        <v>1978</v>
      </c>
      <c r="D81" s="153"/>
      <c r="E81" s="152" t="s">
        <v>223</v>
      </c>
      <c r="F81" s="153">
        <v>5</v>
      </c>
      <c r="G81" s="153">
        <v>4</v>
      </c>
      <c r="H81" s="153">
        <v>3050.2</v>
      </c>
      <c r="I81" s="153">
        <v>3050.2</v>
      </c>
      <c r="J81" s="153">
        <v>1741.5</v>
      </c>
      <c r="K81" s="153">
        <v>143</v>
      </c>
      <c r="L81" s="161">
        <f>'виды работ '!C77</f>
        <v>3917454.12</v>
      </c>
      <c r="M81" s="161">
        <v>0</v>
      </c>
      <c r="N81" s="161">
        <v>0</v>
      </c>
      <c r="O81" s="161">
        <v>0</v>
      </c>
      <c r="P81" s="159">
        <f>L81</f>
        <v>3917454.12</v>
      </c>
      <c r="Q81" s="161">
        <f>L81/H81</f>
        <v>1284.3269687233626</v>
      </c>
      <c r="R81" s="161">
        <v>14593.7</v>
      </c>
      <c r="S81" s="4" t="s">
        <v>279</v>
      </c>
      <c r="T81" s="152" t="s">
        <v>231</v>
      </c>
      <c r="U81" s="121"/>
      <c r="V81" s="139">
        <f>L82-'виды работ '!C78</f>
        <v>0</v>
      </c>
    </row>
    <row r="82" spans="1:22" s="138" customFormat="1" ht="15" customHeight="1" x14ac:dyDescent="0.2">
      <c r="A82" s="12">
        <f>A81+1</f>
        <v>42</v>
      </c>
      <c r="B82" s="5" t="s">
        <v>266</v>
      </c>
      <c r="C82" s="153">
        <v>1981</v>
      </c>
      <c r="D82" s="153"/>
      <c r="E82" s="152" t="s">
        <v>223</v>
      </c>
      <c r="F82" s="153">
        <v>5</v>
      </c>
      <c r="G82" s="153">
        <v>4</v>
      </c>
      <c r="H82" s="153">
        <v>3056.1</v>
      </c>
      <c r="I82" s="153">
        <v>3056.1</v>
      </c>
      <c r="J82" s="153">
        <v>1741</v>
      </c>
      <c r="K82" s="153">
        <v>120</v>
      </c>
      <c r="L82" s="161">
        <f>'виды работ '!C78</f>
        <v>3925553.23</v>
      </c>
      <c r="M82" s="161">
        <v>0</v>
      </c>
      <c r="N82" s="161">
        <v>0</v>
      </c>
      <c r="O82" s="161">
        <v>0</v>
      </c>
      <c r="P82" s="159">
        <f>L82</f>
        <v>3925553.23</v>
      </c>
      <c r="Q82" s="161">
        <f>L82/H82</f>
        <v>1284.4976375118615</v>
      </c>
      <c r="R82" s="161">
        <v>14593.7</v>
      </c>
      <c r="S82" s="4" t="s">
        <v>279</v>
      </c>
      <c r="T82" s="152" t="s">
        <v>231</v>
      </c>
      <c r="U82" s="121"/>
      <c r="V82" s="139">
        <f>L83-'виды работ '!C79</f>
        <v>0</v>
      </c>
    </row>
    <row r="83" spans="1:22" s="138" customFormat="1" ht="15" customHeight="1" x14ac:dyDescent="0.2">
      <c r="A83" s="12">
        <f>A82+1</f>
        <v>43</v>
      </c>
      <c r="B83" s="5" t="s">
        <v>267</v>
      </c>
      <c r="C83" s="152">
        <v>1984</v>
      </c>
      <c r="D83" s="153"/>
      <c r="E83" s="152" t="s">
        <v>223</v>
      </c>
      <c r="F83" s="153">
        <v>5</v>
      </c>
      <c r="G83" s="153">
        <v>4</v>
      </c>
      <c r="H83" s="153">
        <v>3058.7</v>
      </c>
      <c r="I83" s="153">
        <v>3058.7</v>
      </c>
      <c r="J83" s="153">
        <v>1750.8</v>
      </c>
      <c r="K83" s="152">
        <v>165</v>
      </c>
      <c r="L83" s="161">
        <f>'виды работ '!C79</f>
        <v>3851016.54</v>
      </c>
      <c r="M83" s="161">
        <v>0</v>
      </c>
      <c r="N83" s="161">
        <v>0</v>
      </c>
      <c r="O83" s="161">
        <v>0</v>
      </c>
      <c r="P83" s="159">
        <f>L83</f>
        <v>3851016.54</v>
      </c>
      <c r="Q83" s="161">
        <f>L83/H83</f>
        <v>1259.0370222643608</v>
      </c>
      <c r="R83" s="161">
        <v>14593.7</v>
      </c>
      <c r="S83" s="4" t="s">
        <v>279</v>
      </c>
      <c r="T83" s="152" t="s">
        <v>231</v>
      </c>
      <c r="U83" s="121"/>
      <c r="V83" s="139">
        <f>L84-'виды работ '!C80</f>
        <v>0</v>
      </c>
    </row>
    <row r="84" spans="1:22" s="138" customFormat="1" ht="15" customHeight="1" x14ac:dyDescent="0.2">
      <c r="A84" s="171" t="s">
        <v>18</v>
      </c>
      <c r="B84" s="171"/>
      <c r="C84" s="159" t="s">
        <v>222</v>
      </c>
      <c r="D84" s="159" t="s">
        <v>222</v>
      </c>
      <c r="E84" s="159" t="s">
        <v>222</v>
      </c>
      <c r="F84" s="159" t="s">
        <v>222</v>
      </c>
      <c r="G84" s="159" t="s">
        <v>222</v>
      </c>
      <c r="H84" s="161">
        <f>SUM(H80:H83)</f>
        <v>12291.7</v>
      </c>
      <c r="I84" s="161">
        <f t="shared" ref="I84:P84" si="21">SUM(I80:I83)</f>
        <v>12291.7</v>
      </c>
      <c r="J84" s="161">
        <f t="shared" si="21"/>
        <v>7014.8</v>
      </c>
      <c r="K84" s="165">
        <f t="shared" si="21"/>
        <v>573</v>
      </c>
      <c r="L84" s="161">
        <f>SUM(L80:L83)</f>
        <v>15331927.77</v>
      </c>
      <c r="M84" s="161">
        <f t="shared" si="21"/>
        <v>0</v>
      </c>
      <c r="N84" s="161">
        <f t="shared" si="21"/>
        <v>0</v>
      </c>
      <c r="O84" s="161">
        <f t="shared" si="21"/>
        <v>0</v>
      </c>
      <c r="P84" s="161">
        <f t="shared" si="21"/>
        <v>15331927.77</v>
      </c>
      <c r="Q84" s="161">
        <f>L84/H84</f>
        <v>1247.3398935867292</v>
      </c>
      <c r="R84" s="11" t="s">
        <v>222</v>
      </c>
      <c r="S84" s="4" t="s">
        <v>222</v>
      </c>
      <c r="T84" s="152" t="s">
        <v>222</v>
      </c>
      <c r="U84" s="124"/>
      <c r="V84" s="139">
        <f>L85-'виды работ '!C81</f>
        <v>0</v>
      </c>
    </row>
    <row r="85" spans="1:22" s="138" customFormat="1" ht="16.5" customHeight="1" x14ac:dyDescent="0.2">
      <c r="A85" s="168" t="s">
        <v>19</v>
      </c>
      <c r="B85" s="168"/>
      <c r="C85" s="168"/>
      <c r="D85" s="168"/>
      <c r="E85" s="168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39"/>
      <c r="V85" s="139">
        <f>L86-'виды работ '!C82</f>
        <v>0</v>
      </c>
    </row>
    <row r="86" spans="1:22" s="230" customFormat="1" ht="22.5" customHeight="1" x14ac:dyDescent="0.2">
      <c r="A86" s="160">
        <f>A83+1</f>
        <v>44</v>
      </c>
      <c r="B86" s="5" t="s">
        <v>280</v>
      </c>
      <c r="C86" s="152">
        <v>1980</v>
      </c>
      <c r="D86" s="153"/>
      <c r="E86" s="152" t="s">
        <v>223</v>
      </c>
      <c r="F86" s="153">
        <v>9</v>
      </c>
      <c r="G86" s="153">
        <v>6</v>
      </c>
      <c r="H86" s="161">
        <v>13162.6</v>
      </c>
      <c r="I86" s="161">
        <v>11701</v>
      </c>
      <c r="J86" s="161">
        <v>11701</v>
      </c>
      <c r="K86" s="160">
        <v>614</v>
      </c>
      <c r="L86" s="159">
        <f>'виды работ '!C82</f>
        <v>4498813.62</v>
      </c>
      <c r="M86" s="159">
        <v>0</v>
      </c>
      <c r="N86" s="159">
        <v>0</v>
      </c>
      <c r="O86" s="159">
        <v>0</v>
      </c>
      <c r="P86" s="161">
        <f>L86</f>
        <v>4498813.62</v>
      </c>
      <c r="Q86" s="159">
        <f>L86/H86</f>
        <v>341.78761186999532</v>
      </c>
      <c r="R86" s="161">
        <v>14593.7</v>
      </c>
      <c r="S86" s="4" t="s">
        <v>279</v>
      </c>
      <c r="T86" s="152" t="s">
        <v>231</v>
      </c>
      <c r="U86" s="139"/>
      <c r="V86" s="139">
        <f>L87-'виды работ '!C83</f>
        <v>0</v>
      </c>
    </row>
    <row r="87" spans="1:22" s="138" customFormat="1" ht="18" customHeight="1" x14ac:dyDescent="0.2">
      <c r="A87" s="160">
        <f>A86+1</f>
        <v>45</v>
      </c>
      <c r="B87" s="5" t="s">
        <v>281</v>
      </c>
      <c r="C87" s="152">
        <v>1959</v>
      </c>
      <c r="D87" s="153"/>
      <c r="E87" s="152" t="s">
        <v>219</v>
      </c>
      <c r="F87" s="153">
        <v>3</v>
      </c>
      <c r="G87" s="153">
        <v>3</v>
      </c>
      <c r="H87" s="161">
        <v>1497.2</v>
      </c>
      <c r="I87" s="161">
        <v>1324.5</v>
      </c>
      <c r="J87" s="161">
        <v>1324.5</v>
      </c>
      <c r="K87" s="160">
        <v>63</v>
      </c>
      <c r="L87" s="159">
        <f>'виды работ '!C83</f>
        <v>4136789.72</v>
      </c>
      <c r="M87" s="159">
        <v>0</v>
      </c>
      <c r="N87" s="159">
        <v>0</v>
      </c>
      <c r="O87" s="159">
        <v>0</v>
      </c>
      <c r="P87" s="161">
        <f>L87</f>
        <v>4136789.72</v>
      </c>
      <c r="Q87" s="159">
        <f>L87/H87</f>
        <v>2763.0174458990114</v>
      </c>
      <c r="R87" s="161">
        <v>14593.7</v>
      </c>
      <c r="S87" s="4" t="s">
        <v>279</v>
      </c>
      <c r="T87" s="152" t="s">
        <v>231</v>
      </c>
      <c r="U87" s="139"/>
      <c r="V87" s="139">
        <f>L88-'виды работ '!C84</f>
        <v>0</v>
      </c>
    </row>
    <row r="88" spans="1:22" s="138" customFormat="1" ht="18.75" customHeight="1" x14ac:dyDescent="0.2">
      <c r="A88" s="160">
        <f>A87+1</f>
        <v>46</v>
      </c>
      <c r="B88" s="5" t="s">
        <v>282</v>
      </c>
      <c r="C88" s="153">
        <v>1961</v>
      </c>
      <c r="D88" s="153"/>
      <c r="E88" s="152" t="s">
        <v>219</v>
      </c>
      <c r="F88" s="153">
        <v>4</v>
      </c>
      <c r="G88" s="153">
        <v>3</v>
      </c>
      <c r="H88" s="161">
        <v>2010.15</v>
      </c>
      <c r="I88" s="161">
        <v>1306.75</v>
      </c>
      <c r="J88" s="161">
        <v>1306.75</v>
      </c>
      <c r="K88" s="165">
        <v>77</v>
      </c>
      <c r="L88" s="161">
        <f>'виды работ '!C84</f>
        <v>2822551.44</v>
      </c>
      <c r="M88" s="159">
        <v>0</v>
      </c>
      <c r="N88" s="159">
        <v>0</v>
      </c>
      <c r="O88" s="159">
        <v>0</v>
      </c>
      <c r="P88" s="161">
        <f>L88</f>
        <v>2822551.44</v>
      </c>
      <c r="Q88" s="159">
        <f>L88/H88</f>
        <v>1404.1496604730989</v>
      </c>
      <c r="R88" s="161">
        <v>14593.7</v>
      </c>
      <c r="S88" s="4" t="s">
        <v>279</v>
      </c>
      <c r="T88" s="152" t="s">
        <v>231</v>
      </c>
      <c r="U88" s="139"/>
      <c r="V88" s="139">
        <f>L89-'виды работ '!C85</f>
        <v>0</v>
      </c>
    </row>
    <row r="89" spans="1:22" s="138" customFormat="1" ht="18.75" customHeight="1" x14ac:dyDescent="0.2">
      <c r="A89" s="171" t="s">
        <v>18</v>
      </c>
      <c r="B89" s="171"/>
      <c r="C89" s="159" t="s">
        <v>222</v>
      </c>
      <c r="D89" s="159" t="s">
        <v>222</v>
      </c>
      <c r="E89" s="159" t="s">
        <v>222</v>
      </c>
      <c r="F89" s="159" t="s">
        <v>222</v>
      </c>
      <c r="G89" s="159" t="s">
        <v>222</v>
      </c>
      <c r="H89" s="161">
        <f>SUM(H86:H88)</f>
        <v>16669.95</v>
      </c>
      <c r="I89" s="161">
        <f t="shared" ref="I89:Q89" si="22">SUM(I86:I88)</f>
        <v>14332.25</v>
      </c>
      <c r="J89" s="161">
        <f t="shared" si="22"/>
        <v>14332.25</v>
      </c>
      <c r="K89" s="165">
        <f t="shared" si="22"/>
        <v>754</v>
      </c>
      <c r="L89" s="161">
        <f>SUM(L86:L88)</f>
        <v>11458154.779999999</v>
      </c>
      <c r="M89" s="161">
        <f t="shared" si="22"/>
        <v>0</v>
      </c>
      <c r="N89" s="161">
        <f t="shared" si="22"/>
        <v>0</v>
      </c>
      <c r="O89" s="161">
        <f t="shared" si="22"/>
        <v>0</v>
      </c>
      <c r="P89" s="161">
        <f t="shared" si="22"/>
        <v>11458154.779999999</v>
      </c>
      <c r="Q89" s="161">
        <f t="shared" si="22"/>
        <v>4508.9547182421056</v>
      </c>
      <c r="R89" s="11" t="s">
        <v>222</v>
      </c>
      <c r="S89" s="153" t="s">
        <v>222</v>
      </c>
      <c r="T89" s="152" t="s">
        <v>222</v>
      </c>
      <c r="U89" s="139"/>
      <c r="V89" s="139">
        <f>L90-'виды работ '!C86</f>
        <v>0</v>
      </c>
    </row>
    <row r="90" spans="1:22" s="138" customFormat="1" ht="18.75" customHeight="1" x14ac:dyDescent="0.2">
      <c r="A90" s="189" t="s">
        <v>20</v>
      </c>
      <c r="B90" s="189"/>
      <c r="C90" s="189"/>
      <c r="D90" s="189"/>
      <c r="E90" s="189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39"/>
      <c r="V90" s="139">
        <f>L91-'виды работ '!C87</f>
        <v>0</v>
      </c>
    </row>
    <row r="91" spans="1:22" s="230" customFormat="1" ht="19.5" customHeight="1" x14ac:dyDescent="0.2">
      <c r="A91" s="160">
        <f>A88+1</f>
        <v>47</v>
      </c>
      <c r="B91" s="5" t="s">
        <v>21</v>
      </c>
      <c r="C91" s="153">
        <v>1970</v>
      </c>
      <c r="D91" s="153"/>
      <c r="E91" s="152" t="s">
        <v>219</v>
      </c>
      <c r="F91" s="153">
        <v>2</v>
      </c>
      <c r="G91" s="153">
        <v>2</v>
      </c>
      <c r="H91" s="161">
        <v>543.70000000000005</v>
      </c>
      <c r="I91" s="161">
        <v>485.77</v>
      </c>
      <c r="J91" s="161">
        <v>315.89</v>
      </c>
      <c r="K91" s="165">
        <v>38</v>
      </c>
      <c r="L91" s="161">
        <f>'виды работ '!C87</f>
        <v>1440515.8900000001</v>
      </c>
      <c r="M91" s="159">
        <v>0</v>
      </c>
      <c r="N91" s="159">
        <v>0</v>
      </c>
      <c r="O91" s="159">
        <v>0</v>
      </c>
      <c r="P91" s="161">
        <f>L91</f>
        <v>1440515.8900000001</v>
      </c>
      <c r="Q91" s="159">
        <f>L91/H91</f>
        <v>2649.4682545521428</v>
      </c>
      <c r="R91" s="161">
        <v>14593.7</v>
      </c>
      <c r="S91" s="4" t="s">
        <v>279</v>
      </c>
      <c r="T91" s="152" t="s">
        <v>231</v>
      </c>
      <c r="U91" s="139"/>
      <c r="V91" s="139">
        <f>L92-'виды работ '!C88</f>
        <v>0</v>
      </c>
    </row>
    <row r="92" spans="1:22" s="230" customFormat="1" ht="19.5" customHeight="1" x14ac:dyDescent="0.2">
      <c r="A92" s="160">
        <f>A91+1</f>
        <v>48</v>
      </c>
      <c r="B92" s="5" t="s">
        <v>22</v>
      </c>
      <c r="C92" s="153">
        <v>1978</v>
      </c>
      <c r="D92" s="153"/>
      <c r="E92" s="152" t="s">
        <v>223</v>
      </c>
      <c r="F92" s="153">
        <v>3</v>
      </c>
      <c r="G92" s="153">
        <v>3</v>
      </c>
      <c r="H92" s="161">
        <v>1392.07</v>
      </c>
      <c r="I92" s="161">
        <v>802.6</v>
      </c>
      <c r="J92" s="161">
        <v>1235.99</v>
      </c>
      <c r="K92" s="165">
        <v>69</v>
      </c>
      <c r="L92" s="161">
        <f>'виды работ '!C88</f>
        <v>1856205.1300000001</v>
      </c>
      <c r="M92" s="159">
        <v>0</v>
      </c>
      <c r="N92" s="159">
        <v>0</v>
      </c>
      <c r="O92" s="159">
        <v>0</v>
      </c>
      <c r="P92" s="161">
        <f>L92</f>
        <v>1856205.1300000001</v>
      </c>
      <c r="Q92" s="159">
        <f>L92/H92</f>
        <v>1333.4136429920911</v>
      </c>
      <c r="R92" s="161">
        <v>14593.7</v>
      </c>
      <c r="S92" s="4" t="s">
        <v>279</v>
      </c>
      <c r="T92" s="152" t="s">
        <v>231</v>
      </c>
      <c r="U92" s="139"/>
      <c r="V92" s="139">
        <f>L93-'виды работ '!C89</f>
        <v>0</v>
      </c>
    </row>
    <row r="93" spans="1:22" s="138" customFormat="1" ht="18.75" customHeight="1" x14ac:dyDescent="0.2">
      <c r="A93" s="171" t="s">
        <v>18</v>
      </c>
      <c r="B93" s="171"/>
      <c r="C93" s="159" t="s">
        <v>222</v>
      </c>
      <c r="D93" s="159" t="s">
        <v>222</v>
      </c>
      <c r="E93" s="159" t="s">
        <v>222</v>
      </c>
      <c r="F93" s="159" t="s">
        <v>222</v>
      </c>
      <c r="G93" s="159" t="s">
        <v>222</v>
      </c>
      <c r="H93" s="161">
        <f>SUM(H91:H92)</f>
        <v>1935.77</v>
      </c>
      <c r="I93" s="161">
        <f t="shared" ref="I93:P93" si="23">SUM(I91:I92)</f>
        <v>1288.3699999999999</v>
      </c>
      <c r="J93" s="161">
        <f t="shared" si="23"/>
        <v>1551.88</v>
      </c>
      <c r="K93" s="165">
        <f t="shared" si="23"/>
        <v>107</v>
      </c>
      <c r="L93" s="161">
        <f>SUM(L91:L92)</f>
        <v>3296721.0200000005</v>
      </c>
      <c r="M93" s="161">
        <f t="shared" si="23"/>
        <v>0</v>
      </c>
      <c r="N93" s="161">
        <f t="shared" si="23"/>
        <v>0</v>
      </c>
      <c r="O93" s="161">
        <f t="shared" si="23"/>
        <v>0</v>
      </c>
      <c r="P93" s="161">
        <f t="shared" si="23"/>
        <v>3296721.0200000005</v>
      </c>
      <c r="Q93" s="161">
        <f>L93/H93</f>
        <v>1703.054092170041</v>
      </c>
      <c r="R93" s="11" t="s">
        <v>222</v>
      </c>
      <c r="S93" s="153" t="s">
        <v>222</v>
      </c>
      <c r="T93" s="152" t="s">
        <v>222</v>
      </c>
      <c r="U93" s="139"/>
      <c r="V93" s="139">
        <f>L94-'виды работ '!C90</f>
        <v>0</v>
      </c>
    </row>
    <row r="94" spans="1:22" s="138" customFormat="1" ht="18.75" customHeight="1" x14ac:dyDescent="0.2">
      <c r="A94" s="189" t="s">
        <v>23</v>
      </c>
      <c r="B94" s="189"/>
      <c r="C94" s="189"/>
      <c r="D94" s="189"/>
      <c r="E94" s="189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39"/>
      <c r="V94" s="139">
        <f>L95-'виды работ '!C91</f>
        <v>0</v>
      </c>
    </row>
    <row r="95" spans="1:22" s="138" customFormat="1" ht="18.75" customHeight="1" x14ac:dyDescent="0.2">
      <c r="A95" s="160">
        <f>A92+1</f>
        <v>49</v>
      </c>
      <c r="B95" s="5" t="s">
        <v>283</v>
      </c>
      <c r="C95" s="152">
        <v>1975</v>
      </c>
      <c r="D95" s="153"/>
      <c r="E95" s="152" t="s">
        <v>219</v>
      </c>
      <c r="F95" s="153">
        <v>2</v>
      </c>
      <c r="G95" s="153">
        <v>2</v>
      </c>
      <c r="H95" s="152">
        <v>724.59</v>
      </c>
      <c r="I95" s="153">
        <v>669.49</v>
      </c>
      <c r="J95" s="153">
        <v>626.39</v>
      </c>
      <c r="K95" s="152">
        <v>31</v>
      </c>
      <c r="L95" s="161">
        <f>'виды работ '!C91</f>
        <v>2077785.8800000001</v>
      </c>
      <c r="M95" s="159">
        <v>0</v>
      </c>
      <c r="N95" s="159">
        <v>0</v>
      </c>
      <c r="O95" s="159">
        <v>0</v>
      </c>
      <c r="P95" s="161">
        <f>L95</f>
        <v>2077785.8800000001</v>
      </c>
      <c r="Q95" s="159">
        <f>L95/H95</f>
        <v>2867.5331980844339</v>
      </c>
      <c r="R95" s="161">
        <v>14593.7</v>
      </c>
      <c r="S95" s="4" t="s">
        <v>279</v>
      </c>
      <c r="T95" s="152" t="s">
        <v>231</v>
      </c>
      <c r="U95" s="139"/>
      <c r="V95" s="139">
        <f>L96-'виды работ '!C92</f>
        <v>0</v>
      </c>
    </row>
    <row r="96" spans="1:22" s="138" customFormat="1" ht="18.75" customHeight="1" x14ac:dyDescent="0.2">
      <c r="A96" s="171" t="s">
        <v>18</v>
      </c>
      <c r="B96" s="171"/>
      <c r="C96" s="159" t="s">
        <v>222</v>
      </c>
      <c r="D96" s="159" t="s">
        <v>222</v>
      </c>
      <c r="E96" s="159" t="s">
        <v>222</v>
      </c>
      <c r="F96" s="159" t="s">
        <v>222</v>
      </c>
      <c r="G96" s="159" t="s">
        <v>222</v>
      </c>
      <c r="H96" s="161">
        <f>SUM(H95)</f>
        <v>724.59</v>
      </c>
      <c r="I96" s="161">
        <f t="shared" ref="I96:P96" si="24">SUM(I95)</f>
        <v>669.49</v>
      </c>
      <c r="J96" s="161">
        <f t="shared" si="24"/>
        <v>626.39</v>
      </c>
      <c r="K96" s="165">
        <f t="shared" si="24"/>
        <v>31</v>
      </c>
      <c r="L96" s="161">
        <f t="shared" si="24"/>
        <v>2077785.8800000001</v>
      </c>
      <c r="M96" s="161">
        <f t="shared" si="24"/>
        <v>0</v>
      </c>
      <c r="N96" s="161">
        <f t="shared" si="24"/>
        <v>0</v>
      </c>
      <c r="O96" s="161">
        <f t="shared" si="24"/>
        <v>0</v>
      </c>
      <c r="P96" s="161">
        <f t="shared" si="24"/>
        <v>2077785.8800000001</v>
      </c>
      <c r="Q96" s="161">
        <f>L96/H96</f>
        <v>2867.5331980844339</v>
      </c>
      <c r="R96" s="11" t="s">
        <v>222</v>
      </c>
      <c r="S96" s="153" t="s">
        <v>222</v>
      </c>
      <c r="T96" s="152" t="s">
        <v>222</v>
      </c>
      <c r="U96" s="139"/>
      <c r="V96" s="139">
        <f>L97-'виды работ '!C93</f>
        <v>0</v>
      </c>
    </row>
    <row r="97" spans="1:22" s="138" customFormat="1" ht="21" customHeight="1" x14ac:dyDescent="0.2">
      <c r="A97" s="189" t="s">
        <v>24</v>
      </c>
      <c r="B97" s="189"/>
      <c r="C97" s="189"/>
      <c r="D97" s="189"/>
      <c r="E97" s="189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39"/>
      <c r="V97" s="139">
        <f>L98-'виды работ '!C94</f>
        <v>0</v>
      </c>
    </row>
    <row r="98" spans="1:22" s="230" customFormat="1" ht="18.75" customHeight="1" x14ac:dyDescent="0.2">
      <c r="A98" s="160">
        <f>A95+1</f>
        <v>50</v>
      </c>
      <c r="B98" s="5" t="s">
        <v>25</v>
      </c>
      <c r="C98" s="153">
        <v>1963</v>
      </c>
      <c r="D98" s="153"/>
      <c r="E98" s="152" t="s">
        <v>219</v>
      </c>
      <c r="F98" s="153">
        <v>2</v>
      </c>
      <c r="G98" s="153">
        <v>2</v>
      </c>
      <c r="H98" s="161">
        <v>987.3</v>
      </c>
      <c r="I98" s="161">
        <v>624.1</v>
      </c>
      <c r="J98" s="161">
        <v>386.5</v>
      </c>
      <c r="K98" s="165">
        <v>49</v>
      </c>
      <c r="L98" s="161">
        <f>'виды работ '!C94</f>
        <v>571975.9</v>
      </c>
      <c r="M98" s="159">
        <v>0</v>
      </c>
      <c r="N98" s="159">
        <v>0</v>
      </c>
      <c r="O98" s="159">
        <v>0</v>
      </c>
      <c r="P98" s="161">
        <f>L98</f>
        <v>571975.9</v>
      </c>
      <c r="Q98" s="159">
        <f>L98/H98</f>
        <v>579.3334346196699</v>
      </c>
      <c r="R98" s="161">
        <v>14593.7</v>
      </c>
      <c r="S98" s="4" t="s">
        <v>279</v>
      </c>
      <c r="T98" s="152" t="s">
        <v>231</v>
      </c>
      <c r="U98" s="139"/>
      <c r="V98" s="139">
        <f>L99-'виды работ '!C95</f>
        <v>0</v>
      </c>
    </row>
    <row r="99" spans="1:22" s="230" customFormat="1" ht="18.75" customHeight="1" x14ac:dyDescent="0.2">
      <c r="A99" s="160">
        <f>A98+1</f>
        <v>51</v>
      </c>
      <c r="B99" s="5" t="s">
        <v>26</v>
      </c>
      <c r="C99" s="153">
        <v>1963</v>
      </c>
      <c r="D99" s="153"/>
      <c r="E99" s="152" t="s">
        <v>219</v>
      </c>
      <c r="F99" s="153">
        <v>2</v>
      </c>
      <c r="G99" s="153">
        <v>2</v>
      </c>
      <c r="H99" s="161">
        <v>681.3</v>
      </c>
      <c r="I99" s="161">
        <v>627.20000000000005</v>
      </c>
      <c r="J99" s="161">
        <v>583.5</v>
      </c>
      <c r="K99" s="165">
        <v>30</v>
      </c>
      <c r="L99" s="161">
        <f>'виды работ '!C95</f>
        <v>170427.01</v>
      </c>
      <c r="M99" s="159">
        <v>0</v>
      </c>
      <c r="N99" s="159">
        <v>0</v>
      </c>
      <c r="O99" s="159">
        <v>0</v>
      </c>
      <c r="P99" s="161">
        <f t="shared" ref="P99:P109" si="25">L99</f>
        <v>170427.01</v>
      </c>
      <c r="Q99" s="159">
        <f t="shared" ref="Q99:Q109" si="26">L99/H99</f>
        <v>250.14972846029653</v>
      </c>
      <c r="R99" s="161">
        <v>14593.7</v>
      </c>
      <c r="S99" s="4" t="s">
        <v>279</v>
      </c>
      <c r="T99" s="152" t="s">
        <v>231</v>
      </c>
      <c r="U99" s="139"/>
      <c r="V99" s="139">
        <f>L100-'виды работ '!C96</f>
        <v>0</v>
      </c>
    </row>
    <row r="100" spans="1:22" s="230" customFormat="1" ht="18.75" customHeight="1" x14ac:dyDescent="0.2">
      <c r="A100" s="160">
        <f t="shared" ref="A100:A109" si="27">A99+1</f>
        <v>52</v>
      </c>
      <c r="B100" s="5" t="s">
        <v>27</v>
      </c>
      <c r="C100" s="153">
        <v>1964</v>
      </c>
      <c r="D100" s="153"/>
      <c r="E100" s="152" t="s">
        <v>219</v>
      </c>
      <c r="F100" s="153">
        <v>2</v>
      </c>
      <c r="G100" s="153">
        <v>2</v>
      </c>
      <c r="H100" s="161">
        <v>689.57</v>
      </c>
      <c r="I100" s="161">
        <v>635.96</v>
      </c>
      <c r="J100" s="161">
        <v>550.16</v>
      </c>
      <c r="K100" s="165">
        <v>35</v>
      </c>
      <c r="L100" s="161">
        <f>'виды работ '!C96</f>
        <v>170427.01</v>
      </c>
      <c r="M100" s="159">
        <v>0</v>
      </c>
      <c r="N100" s="159">
        <v>0</v>
      </c>
      <c r="O100" s="159">
        <v>0</v>
      </c>
      <c r="P100" s="161">
        <f t="shared" si="25"/>
        <v>170427.01</v>
      </c>
      <c r="Q100" s="159">
        <f t="shared" si="26"/>
        <v>247.14968748640456</v>
      </c>
      <c r="R100" s="161">
        <v>14593.7</v>
      </c>
      <c r="S100" s="4" t="s">
        <v>279</v>
      </c>
      <c r="T100" s="152" t="s">
        <v>231</v>
      </c>
      <c r="U100" s="139"/>
      <c r="V100" s="139">
        <f>L101-'виды работ '!C97</f>
        <v>0</v>
      </c>
    </row>
    <row r="101" spans="1:22" s="230" customFormat="1" ht="18.75" customHeight="1" x14ac:dyDescent="0.2">
      <c r="A101" s="160">
        <f t="shared" si="27"/>
        <v>53</v>
      </c>
      <c r="B101" s="5" t="s">
        <v>28</v>
      </c>
      <c r="C101" s="153">
        <v>1965</v>
      </c>
      <c r="D101" s="153"/>
      <c r="E101" s="152" t="s">
        <v>219</v>
      </c>
      <c r="F101" s="153">
        <v>2</v>
      </c>
      <c r="G101" s="153">
        <v>2</v>
      </c>
      <c r="H101" s="161">
        <v>699.51</v>
      </c>
      <c r="I101" s="161">
        <v>644.71</v>
      </c>
      <c r="J101" s="161">
        <v>423.01</v>
      </c>
      <c r="K101" s="165">
        <v>32</v>
      </c>
      <c r="L101" s="161">
        <f>'виды работ '!C97</f>
        <v>170427.01</v>
      </c>
      <c r="M101" s="159">
        <v>0</v>
      </c>
      <c r="N101" s="159">
        <v>0</v>
      </c>
      <c r="O101" s="159">
        <v>0</v>
      </c>
      <c r="P101" s="161">
        <f t="shared" si="25"/>
        <v>170427.01</v>
      </c>
      <c r="Q101" s="159">
        <f t="shared" si="26"/>
        <v>243.63770353533189</v>
      </c>
      <c r="R101" s="161">
        <v>14593.7</v>
      </c>
      <c r="S101" s="4" t="s">
        <v>279</v>
      </c>
      <c r="T101" s="152" t="s">
        <v>231</v>
      </c>
      <c r="U101" s="139"/>
      <c r="V101" s="139">
        <f>L102-'виды работ '!C98</f>
        <v>0</v>
      </c>
    </row>
    <row r="102" spans="1:22" s="230" customFormat="1" ht="18.75" customHeight="1" x14ac:dyDescent="0.2">
      <c r="A102" s="160">
        <f t="shared" si="27"/>
        <v>54</v>
      </c>
      <c r="B102" s="5" t="s">
        <v>29</v>
      </c>
      <c r="C102" s="153">
        <v>1969</v>
      </c>
      <c r="D102" s="153"/>
      <c r="E102" s="152" t="s">
        <v>219</v>
      </c>
      <c r="F102" s="153">
        <v>2</v>
      </c>
      <c r="G102" s="153">
        <v>3</v>
      </c>
      <c r="H102" s="161">
        <v>993.42</v>
      </c>
      <c r="I102" s="161">
        <v>894.62</v>
      </c>
      <c r="J102" s="161">
        <v>522.04</v>
      </c>
      <c r="K102" s="165">
        <v>65</v>
      </c>
      <c r="L102" s="161">
        <f>'виды работ '!C98</f>
        <v>166592.35999999999</v>
      </c>
      <c r="M102" s="159">
        <v>0</v>
      </c>
      <c r="N102" s="159">
        <v>0</v>
      </c>
      <c r="O102" s="159">
        <v>0</v>
      </c>
      <c r="P102" s="161">
        <f t="shared" si="25"/>
        <v>166592.35999999999</v>
      </c>
      <c r="Q102" s="159">
        <f t="shared" si="26"/>
        <v>167.69579835316381</v>
      </c>
      <c r="R102" s="161">
        <v>14593.7</v>
      </c>
      <c r="S102" s="4" t="s">
        <v>279</v>
      </c>
      <c r="T102" s="152" t="s">
        <v>231</v>
      </c>
      <c r="U102" s="139"/>
      <c r="V102" s="139">
        <f>L103-'виды работ '!C99</f>
        <v>0</v>
      </c>
    </row>
    <row r="103" spans="1:22" s="230" customFormat="1" ht="18.75" customHeight="1" x14ac:dyDescent="0.2">
      <c r="A103" s="160">
        <f t="shared" si="27"/>
        <v>55</v>
      </c>
      <c r="B103" s="5" t="s">
        <v>30</v>
      </c>
      <c r="C103" s="153">
        <v>1970</v>
      </c>
      <c r="D103" s="153"/>
      <c r="E103" s="152" t="s">
        <v>219</v>
      </c>
      <c r="F103" s="153">
        <v>2</v>
      </c>
      <c r="G103" s="153">
        <v>2</v>
      </c>
      <c r="H103" s="161">
        <v>689.3</v>
      </c>
      <c r="I103" s="161">
        <v>625.1</v>
      </c>
      <c r="J103" s="161">
        <v>333.8</v>
      </c>
      <c r="K103" s="165">
        <v>51</v>
      </c>
      <c r="L103" s="161">
        <f>'виды работ '!C99</f>
        <v>175151.59</v>
      </c>
      <c r="M103" s="159">
        <v>0</v>
      </c>
      <c r="N103" s="159">
        <v>0</v>
      </c>
      <c r="O103" s="159">
        <v>0</v>
      </c>
      <c r="P103" s="161">
        <f t="shared" si="25"/>
        <v>175151.59</v>
      </c>
      <c r="Q103" s="159">
        <f t="shared" si="26"/>
        <v>254.10066734368201</v>
      </c>
      <c r="R103" s="161">
        <v>14593.7</v>
      </c>
      <c r="S103" s="4" t="s">
        <v>279</v>
      </c>
      <c r="T103" s="152" t="s">
        <v>231</v>
      </c>
      <c r="U103" s="139"/>
      <c r="V103" s="139">
        <f>L104-'виды работ '!C100</f>
        <v>0</v>
      </c>
    </row>
    <row r="104" spans="1:22" s="230" customFormat="1" ht="18.75" customHeight="1" x14ac:dyDescent="0.2">
      <c r="A104" s="160">
        <f t="shared" si="27"/>
        <v>56</v>
      </c>
      <c r="B104" s="5" t="s">
        <v>31</v>
      </c>
      <c r="C104" s="153">
        <v>1971</v>
      </c>
      <c r="D104" s="153"/>
      <c r="E104" s="152" t="s">
        <v>219</v>
      </c>
      <c r="F104" s="153">
        <v>2</v>
      </c>
      <c r="G104" s="153">
        <v>2</v>
      </c>
      <c r="H104" s="161">
        <v>794.7</v>
      </c>
      <c r="I104" s="161">
        <v>726.6</v>
      </c>
      <c r="J104" s="161">
        <v>550.6</v>
      </c>
      <c r="K104" s="165">
        <v>38</v>
      </c>
      <c r="L104" s="161">
        <f>'виды работ '!C100</f>
        <v>175151.59</v>
      </c>
      <c r="M104" s="159">
        <v>0</v>
      </c>
      <c r="N104" s="159">
        <v>0</v>
      </c>
      <c r="O104" s="159">
        <v>0</v>
      </c>
      <c r="P104" s="161">
        <f t="shared" si="25"/>
        <v>175151.59</v>
      </c>
      <c r="Q104" s="159">
        <f t="shared" si="26"/>
        <v>220.39963508242101</v>
      </c>
      <c r="R104" s="161">
        <v>14593.7</v>
      </c>
      <c r="S104" s="4" t="s">
        <v>279</v>
      </c>
      <c r="T104" s="152" t="s">
        <v>231</v>
      </c>
      <c r="U104" s="139"/>
      <c r="V104" s="139">
        <f>L105-'виды работ '!C101</f>
        <v>0</v>
      </c>
    </row>
    <row r="105" spans="1:22" s="230" customFormat="1" ht="18.75" customHeight="1" x14ac:dyDescent="0.2">
      <c r="A105" s="160">
        <f t="shared" si="27"/>
        <v>57</v>
      </c>
      <c r="B105" s="5" t="s">
        <v>32</v>
      </c>
      <c r="C105" s="153">
        <v>1972</v>
      </c>
      <c r="D105" s="153"/>
      <c r="E105" s="152" t="s">
        <v>219</v>
      </c>
      <c r="F105" s="153">
        <v>2</v>
      </c>
      <c r="G105" s="153">
        <v>3</v>
      </c>
      <c r="H105" s="161">
        <v>989.8</v>
      </c>
      <c r="I105" s="161">
        <v>894</v>
      </c>
      <c r="J105" s="161">
        <v>595.29999999999995</v>
      </c>
      <c r="K105" s="165">
        <v>44</v>
      </c>
      <c r="L105" s="161">
        <f>'виды работ '!C101</f>
        <v>166592.35999999999</v>
      </c>
      <c r="M105" s="159">
        <v>0</v>
      </c>
      <c r="N105" s="159">
        <v>0</v>
      </c>
      <c r="O105" s="159">
        <v>0</v>
      </c>
      <c r="P105" s="161">
        <f t="shared" si="25"/>
        <v>166592.35999999999</v>
      </c>
      <c r="Q105" s="159">
        <f t="shared" si="26"/>
        <v>168.30911295211152</v>
      </c>
      <c r="R105" s="161">
        <v>14593.7</v>
      </c>
      <c r="S105" s="4" t="s">
        <v>279</v>
      </c>
      <c r="T105" s="152" t="s">
        <v>231</v>
      </c>
      <c r="U105" s="139"/>
      <c r="V105" s="139">
        <f>L106-'виды работ '!C102</f>
        <v>0</v>
      </c>
    </row>
    <row r="106" spans="1:22" s="230" customFormat="1" ht="18.75" customHeight="1" x14ac:dyDescent="0.2">
      <c r="A106" s="160">
        <f t="shared" si="27"/>
        <v>58</v>
      </c>
      <c r="B106" s="5" t="s">
        <v>33</v>
      </c>
      <c r="C106" s="153">
        <v>1973</v>
      </c>
      <c r="D106" s="153"/>
      <c r="E106" s="152" t="s">
        <v>219</v>
      </c>
      <c r="F106" s="153">
        <v>2</v>
      </c>
      <c r="G106" s="153">
        <v>2</v>
      </c>
      <c r="H106" s="161">
        <v>1159.8</v>
      </c>
      <c r="I106" s="161">
        <v>733.3</v>
      </c>
      <c r="J106" s="161">
        <v>639.5</v>
      </c>
      <c r="K106" s="165">
        <v>35</v>
      </c>
      <c r="L106" s="161">
        <f>'виды работ '!C102</f>
        <v>172442.78</v>
      </c>
      <c r="M106" s="159">
        <v>0</v>
      </c>
      <c r="N106" s="159">
        <v>0</v>
      </c>
      <c r="O106" s="159">
        <v>0</v>
      </c>
      <c r="P106" s="161">
        <f t="shared" si="25"/>
        <v>172442.78</v>
      </c>
      <c r="Q106" s="159">
        <f t="shared" si="26"/>
        <v>148.68320400068978</v>
      </c>
      <c r="R106" s="161">
        <v>14593.7</v>
      </c>
      <c r="S106" s="4" t="s">
        <v>279</v>
      </c>
      <c r="T106" s="152" t="s">
        <v>231</v>
      </c>
      <c r="U106" s="139"/>
      <c r="V106" s="139">
        <f>L107-'виды работ '!C103</f>
        <v>0</v>
      </c>
    </row>
    <row r="107" spans="1:22" s="230" customFormat="1" ht="18.75" customHeight="1" x14ac:dyDescent="0.2">
      <c r="A107" s="160">
        <f t="shared" si="27"/>
        <v>59</v>
      </c>
      <c r="B107" s="5" t="s">
        <v>284</v>
      </c>
      <c r="C107" s="153">
        <v>1971</v>
      </c>
      <c r="D107" s="153"/>
      <c r="E107" s="152" t="s">
        <v>219</v>
      </c>
      <c r="F107" s="153">
        <v>2</v>
      </c>
      <c r="G107" s="153">
        <v>2</v>
      </c>
      <c r="H107" s="153">
        <v>711.93</v>
      </c>
      <c r="I107" s="153">
        <v>539.6</v>
      </c>
      <c r="J107" s="153">
        <f>I107-183.6</f>
        <v>356</v>
      </c>
      <c r="K107" s="153">
        <v>29</v>
      </c>
      <c r="L107" s="161">
        <f>'виды работ '!C103</f>
        <v>171490.07</v>
      </c>
      <c r="M107" s="159">
        <v>0</v>
      </c>
      <c r="N107" s="159">
        <v>0</v>
      </c>
      <c r="O107" s="159">
        <v>0</v>
      </c>
      <c r="P107" s="161">
        <f t="shared" si="25"/>
        <v>171490.07</v>
      </c>
      <c r="Q107" s="159">
        <f t="shared" si="26"/>
        <v>240.88052196142883</v>
      </c>
      <c r="R107" s="161">
        <v>14593.7</v>
      </c>
      <c r="S107" s="4" t="s">
        <v>279</v>
      </c>
      <c r="T107" s="152" t="s">
        <v>231</v>
      </c>
      <c r="U107" s="139"/>
      <c r="V107" s="139">
        <f>L108-'виды работ '!C104</f>
        <v>0</v>
      </c>
    </row>
    <row r="108" spans="1:22" s="230" customFormat="1" ht="18.75" customHeight="1" x14ac:dyDescent="0.2">
      <c r="A108" s="160">
        <f t="shared" si="27"/>
        <v>60</v>
      </c>
      <c r="B108" s="5" t="s">
        <v>285</v>
      </c>
      <c r="C108" s="153">
        <v>1971</v>
      </c>
      <c r="D108" s="153"/>
      <c r="E108" s="152" t="s">
        <v>219</v>
      </c>
      <c r="F108" s="153">
        <v>2</v>
      </c>
      <c r="G108" s="153">
        <v>2</v>
      </c>
      <c r="H108" s="153">
        <v>711.93</v>
      </c>
      <c r="I108" s="153">
        <v>539.6</v>
      </c>
      <c r="J108" s="153">
        <f>I108-176.32</f>
        <v>363.28000000000003</v>
      </c>
      <c r="K108" s="153">
        <v>28</v>
      </c>
      <c r="L108" s="161">
        <f>'виды работ '!C104</f>
        <v>171490.07</v>
      </c>
      <c r="M108" s="159">
        <v>0</v>
      </c>
      <c r="N108" s="159">
        <v>0</v>
      </c>
      <c r="O108" s="159">
        <v>0</v>
      </c>
      <c r="P108" s="161">
        <f t="shared" si="25"/>
        <v>171490.07</v>
      </c>
      <c r="Q108" s="159">
        <f t="shared" si="26"/>
        <v>240.88052196142883</v>
      </c>
      <c r="R108" s="161">
        <v>14593.7</v>
      </c>
      <c r="S108" s="4" t="s">
        <v>279</v>
      </c>
      <c r="T108" s="152" t="s">
        <v>231</v>
      </c>
      <c r="U108" s="139"/>
      <c r="V108" s="139">
        <f>L109-'виды работ '!C105</f>
        <v>0</v>
      </c>
    </row>
    <row r="109" spans="1:22" s="230" customFormat="1" ht="18.75" customHeight="1" x14ac:dyDescent="0.2">
      <c r="A109" s="160">
        <f t="shared" si="27"/>
        <v>61</v>
      </c>
      <c r="B109" s="5" t="s">
        <v>286</v>
      </c>
      <c r="C109" s="153">
        <v>1971</v>
      </c>
      <c r="D109" s="153"/>
      <c r="E109" s="152" t="s">
        <v>219</v>
      </c>
      <c r="F109" s="153">
        <v>2</v>
      </c>
      <c r="G109" s="153">
        <v>2</v>
      </c>
      <c r="H109" s="153">
        <v>711.93</v>
      </c>
      <c r="I109" s="153">
        <v>539.6</v>
      </c>
      <c r="J109" s="153">
        <f>I109-84.86</f>
        <v>454.74</v>
      </c>
      <c r="K109" s="153">
        <v>17</v>
      </c>
      <c r="L109" s="161">
        <f>'виды работ '!C105</f>
        <v>171490.07</v>
      </c>
      <c r="M109" s="159">
        <v>0</v>
      </c>
      <c r="N109" s="159">
        <v>0</v>
      </c>
      <c r="O109" s="159">
        <v>0</v>
      </c>
      <c r="P109" s="161">
        <f t="shared" si="25"/>
        <v>171490.07</v>
      </c>
      <c r="Q109" s="159">
        <f t="shared" si="26"/>
        <v>240.88052196142883</v>
      </c>
      <c r="R109" s="161">
        <v>14593.7</v>
      </c>
      <c r="S109" s="4" t="s">
        <v>279</v>
      </c>
      <c r="T109" s="152" t="s">
        <v>231</v>
      </c>
      <c r="U109" s="139"/>
      <c r="V109" s="139">
        <f>L110-'виды работ '!C106</f>
        <v>0</v>
      </c>
    </row>
    <row r="110" spans="1:22" s="138" customFormat="1" ht="20.25" customHeight="1" x14ac:dyDescent="0.2">
      <c r="A110" s="171" t="s">
        <v>18</v>
      </c>
      <c r="B110" s="171"/>
      <c r="C110" s="159" t="s">
        <v>222</v>
      </c>
      <c r="D110" s="159" t="s">
        <v>222</v>
      </c>
      <c r="E110" s="159" t="s">
        <v>222</v>
      </c>
      <c r="F110" s="159" t="s">
        <v>222</v>
      </c>
      <c r="G110" s="159" t="s">
        <v>222</v>
      </c>
      <c r="H110" s="161">
        <f>SUM(H98:H109)</f>
        <v>9820.4900000000016</v>
      </c>
      <c r="I110" s="161">
        <f t="shared" ref="I110:P110" si="28">SUM(I98:I109)</f>
        <v>8024.3900000000012</v>
      </c>
      <c r="J110" s="161">
        <f t="shared" si="28"/>
        <v>5758.4299999999994</v>
      </c>
      <c r="K110" s="165">
        <f t="shared" si="28"/>
        <v>453</v>
      </c>
      <c r="L110" s="161">
        <f>SUM(L98:L109)</f>
        <v>2453657.8199999998</v>
      </c>
      <c r="M110" s="161">
        <f t="shared" si="28"/>
        <v>0</v>
      </c>
      <c r="N110" s="161">
        <f t="shared" si="28"/>
        <v>0</v>
      </c>
      <c r="O110" s="161">
        <f t="shared" si="28"/>
        <v>0</v>
      </c>
      <c r="P110" s="161">
        <f t="shared" si="28"/>
        <v>2453657.8199999998</v>
      </c>
      <c r="Q110" s="161">
        <f>SUM(Q98:Q98)</f>
        <v>579.3334346196699</v>
      </c>
      <c r="R110" s="11" t="s">
        <v>222</v>
      </c>
      <c r="S110" s="153" t="s">
        <v>222</v>
      </c>
      <c r="T110" s="152" t="s">
        <v>222</v>
      </c>
      <c r="U110" s="139"/>
      <c r="V110" s="139">
        <f>L111-'виды работ '!C107</f>
        <v>0</v>
      </c>
    </row>
    <row r="111" spans="1:22" s="138" customFormat="1" ht="20.25" customHeight="1" x14ac:dyDescent="0.2">
      <c r="A111" s="188" t="s">
        <v>34</v>
      </c>
      <c r="B111" s="188"/>
      <c r="C111" s="188"/>
      <c r="D111" s="188"/>
      <c r="E111" s="188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39"/>
      <c r="V111" s="139">
        <f>L112-'виды работ '!C108</f>
        <v>0</v>
      </c>
    </row>
    <row r="112" spans="1:22" s="138" customFormat="1" ht="20.25" customHeight="1" x14ac:dyDescent="0.2">
      <c r="A112" s="160">
        <f>A109+1</f>
        <v>62</v>
      </c>
      <c r="B112" s="24" t="s">
        <v>287</v>
      </c>
      <c r="C112" s="13">
        <v>1969</v>
      </c>
      <c r="D112" s="159"/>
      <c r="E112" s="152" t="s">
        <v>219</v>
      </c>
      <c r="F112" s="160">
        <v>2</v>
      </c>
      <c r="G112" s="160">
        <v>1</v>
      </c>
      <c r="H112" s="161">
        <v>727.05</v>
      </c>
      <c r="I112" s="161">
        <v>727.05</v>
      </c>
      <c r="J112" s="161">
        <v>473.41</v>
      </c>
      <c r="K112" s="165">
        <v>29</v>
      </c>
      <c r="L112" s="161">
        <f>'виды работ '!C108</f>
        <v>2494254.13</v>
      </c>
      <c r="M112" s="159">
        <v>0</v>
      </c>
      <c r="N112" s="159">
        <v>0</v>
      </c>
      <c r="O112" s="159">
        <v>0</v>
      </c>
      <c r="P112" s="161">
        <f>L112</f>
        <v>2494254.13</v>
      </c>
      <c r="Q112" s="159">
        <f>L112/H112</f>
        <v>3430.6500653325083</v>
      </c>
      <c r="R112" s="161">
        <v>14593.7</v>
      </c>
      <c r="S112" s="4" t="s">
        <v>279</v>
      </c>
      <c r="T112" s="152" t="s">
        <v>231</v>
      </c>
      <c r="U112" s="139"/>
      <c r="V112" s="139">
        <f>L113-'виды работ '!C109</f>
        <v>0</v>
      </c>
    </row>
    <row r="113" spans="1:22" s="138" customFormat="1" ht="20.25" customHeight="1" x14ac:dyDescent="0.2">
      <c r="A113" s="171" t="s">
        <v>18</v>
      </c>
      <c r="B113" s="171"/>
      <c r="C113" s="159" t="s">
        <v>222</v>
      </c>
      <c r="D113" s="159" t="s">
        <v>222</v>
      </c>
      <c r="E113" s="159" t="s">
        <v>222</v>
      </c>
      <c r="F113" s="159" t="s">
        <v>222</v>
      </c>
      <c r="G113" s="159" t="s">
        <v>222</v>
      </c>
      <c r="H113" s="161">
        <f t="shared" ref="H113:Q113" si="29">SUM(H112:H112)</f>
        <v>727.05</v>
      </c>
      <c r="I113" s="161">
        <f t="shared" si="29"/>
        <v>727.05</v>
      </c>
      <c r="J113" s="161">
        <f t="shared" si="29"/>
        <v>473.41</v>
      </c>
      <c r="K113" s="165">
        <f t="shared" si="29"/>
        <v>29</v>
      </c>
      <c r="L113" s="161">
        <f t="shared" si="29"/>
        <v>2494254.13</v>
      </c>
      <c r="M113" s="161">
        <f t="shared" si="29"/>
        <v>0</v>
      </c>
      <c r="N113" s="161">
        <f t="shared" si="29"/>
        <v>0</v>
      </c>
      <c r="O113" s="161">
        <f t="shared" si="29"/>
        <v>0</v>
      </c>
      <c r="P113" s="161">
        <f t="shared" si="29"/>
        <v>2494254.13</v>
      </c>
      <c r="Q113" s="161">
        <f t="shared" si="29"/>
        <v>3430.6500653325083</v>
      </c>
      <c r="R113" s="11" t="s">
        <v>222</v>
      </c>
      <c r="S113" s="153" t="s">
        <v>222</v>
      </c>
      <c r="T113" s="152" t="s">
        <v>222</v>
      </c>
      <c r="U113" s="139"/>
      <c r="V113" s="139">
        <f>L114-'виды работ '!C110</f>
        <v>0</v>
      </c>
    </row>
    <row r="114" spans="1:22" s="232" customFormat="1" ht="17.25" customHeight="1" x14ac:dyDescent="0.2">
      <c r="A114" s="189" t="s">
        <v>35</v>
      </c>
      <c r="B114" s="189"/>
      <c r="C114" s="189"/>
      <c r="D114" s="189"/>
      <c r="E114" s="189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231"/>
      <c r="V114" s="139">
        <f>L115-'виды работ '!C111</f>
        <v>0</v>
      </c>
    </row>
    <row r="115" spans="1:22" s="234" customFormat="1" ht="19.5" customHeight="1" x14ac:dyDescent="0.2">
      <c r="A115" s="165">
        <f>A112+1</f>
        <v>63</v>
      </c>
      <c r="B115" s="5" t="s">
        <v>289</v>
      </c>
      <c r="C115" s="7" t="s">
        <v>226</v>
      </c>
      <c r="D115" s="7"/>
      <c r="E115" s="152" t="s">
        <v>255</v>
      </c>
      <c r="F115" s="7">
        <v>2</v>
      </c>
      <c r="G115" s="7">
        <v>1</v>
      </c>
      <c r="H115" s="7">
        <v>326.98</v>
      </c>
      <c r="I115" s="7">
        <v>326.98</v>
      </c>
      <c r="J115" s="7">
        <v>88.06</v>
      </c>
      <c r="K115" s="7">
        <v>18</v>
      </c>
      <c r="L115" s="161">
        <f>'виды работ '!C111</f>
        <v>3151215.7900000005</v>
      </c>
      <c r="M115" s="159">
        <v>0</v>
      </c>
      <c r="N115" s="159">
        <v>0</v>
      </c>
      <c r="O115" s="159">
        <v>0</v>
      </c>
      <c r="P115" s="161">
        <f t="shared" ref="P115:P121" si="30">L115</f>
        <v>3151215.7900000005</v>
      </c>
      <c r="Q115" s="159">
        <f t="shared" ref="Q115:Q127" si="31">L115/H115</f>
        <v>9637.3349746161857</v>
      </c>
      <c r="R115" s="161">
        <v>14593.7</v>
      </c>
      <c r="S115" s="4" t="s">
        <v>279</v>
      </c>
      <c r="T115" s="152" t="s">
        <v>231</v>
      </c>
      <c r="U115" s="233"/>
      <c r="V115" s="139">
        <f>L116-'виды работ '!C112</f>
        <v>0</v>
      </c>
    </row>
    <row r="116" spans="1:22" s="234" customFormat="1" ht="19.5" customHeight="1" x14ac:dyDescent="0.2">
      <c r="A116" s="160">
        <f>A115+1</f>
        <v>64</v>
      </c>
      <c r="B116" s="5" t="s">
        <v>290</v>
      </c>
      <c r="C116" s="7" t="s">
        <v>226</v>
      </c>
      <c r="D116" s="7"/>
      <c r="E116" s="152" t="s">
        <v>255</v>
      </c>
      <c r="F116" s="7">
        <v>2</v>
      </c>
      <c r="G116" s="7">
        <v>2</v>
      </c>
      <c r="H116" s="7">
        <v>139.91999999999999</v>
      </c>
      <c r="I116" s="7">
        <v>139.91999999999999</v>
      </c>
      <c r="J116" s="7">
        <v>202.2</v>
      </c>
      <c r="K116" s="7">
        <v>18</v>
      </c>
      <c r="L116" s="161">
        <f>'виды работ '!C112</f>
        <v>2175546.9</v>
      </c>
      <c r="M116" s="159">
        <v>0</v>
      </c>
      <c r="N116" s="159">
        <v>0</v>
      </c>
      <c r="O116" s="159">
        <v>0</v>
      </c>
      <c r="P116" s="161">
        <f t="shared" si="30"/>
        <v>2175546.9</v>
      </c>
      <c r="Q116" s="159">
        <f t="shared" si="31"/>
        <v>15548.505574614066</v>
      </c>
      <c r="R116" s="161">
        <v>14593.7</v>
      </c>
      <c r="S116" s="4" t="s">
        <v>279</v>
      </c>
      <c r="T116" s="152" t="s">
        <v>231</v>
      </c>
      <c r="U116" s="233"/>
      <c r="V116" s="139">
        <f>L117-'виды работ '!C113</f>
        <v>0</v>
      </c>
    </row>
    <row r="117" spans="1:22" s="232" customFormat="1" ht="17.25" customHeight="1" x14ac:dyDescent="0.2">
      <c r="A117" s="160">
        <f t="shared" ref="A117:A126" si="32">A116+1</f>
        <v>65</v>
      </c>
      <c r="B117" s="155" t="s">
        <v>550</v>
      </c>
      <c r="C117" s="152">
        <v>1917</v>
      </c>
      <c r="D117" s="152"/>
      <c r="E117" s="152" t="s">
        <v>255</v>
      </c>
      <c r="F117" s="152">
        <v>2</v>
      </c>
      <c r="G117" s="152">
        <v>1</v>
      </c>
      <c r="H117" s="159">
        <v>453.23</v>
      </c>
      <c r="I117" s="159">
        <v>261.54000000000002</v>
      </c>
      <c r="J117" s="159">
        <v>261.54000000000002</v>
      </c>
      <c r="K117" s="160">
        <v>17</v>
      </c>
      <c r="L117" s="161">
        <f>'виды работ '!C113</f>
        <v>2889713.55</v>
      </c>
      <c r="M117" s="159">
        <v>0</v>
      </c>
      <c r="N117" s="159">
        <v>0</v>
      </c>
      <c r="O117" s="159">
        <v>0</v>
      </c>
      <c r="P117" s="161">
        <f>L117</f>
        <v>2889713.55</v>
      </c>
      <c r="Q117" s="159">
        <f t="shared" si="31"/>
        <v>6375.8214372393704</v>
      </c>
      <c r="R117" s="161">
        <v>14593.7</v>
      </c>
      <c r="S117" s="4" t="s">
        <v>279</v>
      </c>
      <c r="T117" s="152" t="s">
        <v>231</v>
      </c>
      <c r="U117" s="231"/>
      <c r="V117" s="139">
        <f>L118-'виды работ '!C114</f>
        <v>0</v>
      </c>
    </row>
    <row r="118" spans="1:22" s="230" customFormat="1" ht="19.5" customHeight="1" x14ac:dyDescent="0.2">
      <c r="A118" s="160">
        <f t="shared" si="32"/>
        <v>66</v>
      </c>
      <c r="B118" s="5" t="s">
        <v>291</v>
      </c>
      <c r="C118" s="7" t="s">
        <v>227</v>
      </c>
      <c r="D118" s="7"/>
      <c r="E118" s="152" t="s">
        <v>255</v>
      </c>
      <c r="F118" s="7">
        <v>2</v>
      </c>
      <c r="G118" s="7">
        <v>1</v>
      </c>
      <c r="H118" s="7">
        <v>301.64</v>
      </c>
      <c r="I118" s="7">
        <v>301.64</v>
      </c>
      <c r="J118" s="7">
        <v>183.93</v>
      </c>
      <c r="K118" s="7">
        <v>11</v>
      </c>
      <c r="L118" s="161">
        <f>'виды работ '!C114</f>
        <v>1761069.42</v>
      </c>
      <c r="M118" s="159">
        <v>0</v>
      </c>
      <c r="N118" s="159">
        <v>0</v>
      </c>
      <c r="O118" s="159">
        <v>0</v>
      </c>
      <c r="P118" s="161">
        <f t="shared" si="30"/>
        <v>1761069.42</v>
      </c>
      <c r="Q118" s="159">
        <f t="shared" si="31"/>
        <v>5838.315276488529</v>
      </c>
      <c r="R118" s="161">
        <v>14593.7</v>
      </c>
      <c r="S118" s="4" t="s">
        <v>279</v>
      </c>
      <c r="T118" s="152" t="s">
        <v>231</v>
      </c>
      <c r="U118" s="139"/>
      <c r="V118" s="139">
        <f>L119-'виды работ '!C115</f>
        <v>0</v>
      </c>
    </row>
    <row r="119" spans="1:22" s="236" customFormat="1" ht="17.25" customHeight="1" x14ac:dyDescent="0.2">
      <c r="A119" s="160">
        <f t="shared" si="32"/>
        <v>67</v>
      </c>
      <c r="B119" s="155" t="s">
        <v>545</v>
      </c>
      <c r="C119" s="152">
        <v>1917</v>
      </c>
      <c r="D119" s="152"/>
      <c r="E119" s="152" t="s">
        <v>255</v>
      </c>
      <c r="F119" s="152">
        <v>2</v>
      </c>
      <c r="G119" s="152">
        <v>1</v>
      </c>
      <c r="H119" s="159">
        <v>442.75</v>
      </c>
      <c r="I119" s="159">
        <v>263.05</v>
      </c>
      <c r="J119" s="159">
        <v>263.05</v>
      </c>
      <c r="K119" s="160">
        <v>23</v>
      </c>
      <c r="L119" s="161">
        <f>'виды работ '!C115</f>
        <v>3403253</v>
      </c>
      <c r="M119" s="159">
        <v>0</v>
      </c>
      <c r="N119" s="159">
        <v>0</v>
      </c>
      <c r="O119" s="159">
        <v>0</v>
      </c>
      <c r="P119" s="161">
        <f>L119</f>
        <v>3403253</v>
      </c>
      <c r="Q119" s="159">
        <f t="shared" si="31"/>
        <v>7686.624505928854</v>
      </c>
      <c r="R119" s="161">
        <v>14593.7</v>
      </c>
      <c r="S119" s="4" t="s">
        <v>279</v>
      </c>
      <c r="T119" s="152" t="s">
        <v>231</v>
      </c>
      <c r="U119" s="235"/>
      <c r="V119" s="139">
        <f>L120-'виды работ '!C116</f>
        <v>0</v>
      </c>
    </row>
    <row r="120" spans="1:22" s="232" customFormat="1" ht="17.25" customHeight="1" x14ac:dyDescent="0.2">
      <c r="A120" s="160">
        <f t="shared" si="32"/>
        <v>68</v>
      </c>
      <c r="B120" s="155" t="s">
        <v>546</v>
      </c>
      <c r="C120" s="152">
        <v>1976</v>
      </c>
      <c r="D120" s="152"/>
      <c r="E120" s="152" t="s">
        <v>219</v>
      </c>
      <c r="F120" s="152">
        <v>5</v>
      </c>
      <c r="G120" s="152">
        <v>2</v>
      </c>
      <c r="H120" s="159">
        <v>3664.5</v>
      </c>
      <c r="I120" s="159">
        <v>2481</v>
      </c>
      <c r="J120" s="159">
        <v>2481</v>
      </c>
      <c r="K120" s="160">
        <v>178</v>
      </c>
      <c r="L120" s="161">
        <f>'виды работ '!C116</f>
        <v>6197062.6399999997</v>
      </c>
      <c r="M120" s="159">
        <v>0</v>
      </c>
      <c r="N120" s="159">
        <v>0</v>
      </c>
      <c r="O120" s="159">
        <v>0</v>
      </c>
      <c r="P120" s="161">
        <f>L120</f>
        <v>6197062.6399999997</v>
      </c>
      <c r="Q120" s="159">
        <f t="shared" si="31"/>
        <v>1691.1072833947333</v>
      </c>
      <c r="R120" s="161">
        <v>14593.7</v>
      </c>
      <c r="S120" s="4" t="s">
        <v>279</v>
      </c>
      <c r="T120" s="152" t="s">
        <v>231</v>
      </c>
      <c r="U120" s="231"/>
      <c r="V120" s="139">
        <f>L121-'виды работ '!C117</f>
        <v>0</v>
      </c>
    </row>
    <row r="121" spans="1:22" s="230" customFormat="1" ht="19.5" customHeight="1" x14ac:dyDescent="0.2">
      <c r="A121" s="160">
        <f t="shared" si="32"/>
        <v>69</v>
      </c>
      <c r="B121" s="5" t="s">
        <v>288</v>
      </c>
      <c r="C121" s="7">
        <v>1917</v>
      </c>
      <c r="D121" s="7"/>
      <c r="E121" s="152" t="s">
        <v>255</v>
      </c>
      <c r="F121" s="7">
        <v>2</v>
      </c>
      <c r="G121" s="7">
        <v>1</v>
      </c>
      <c r="H121" s="7">
        <v>160.6</v>
      </c>
      <c r="I121" s="7">
        <v>160.6</v>
      </c>
      <c r="J121" s="7">
        <v>91.88</v>
      </c>
      <c r="K121" s="7">
        <v>12</v>
      </c>
      <c r="L121" s="161">
        <f>'виды работ '!C117</f>
        <v>2693323.1100000003</v>
      </c>
      <c r="M121" s="159">
        <v>0</v>
      </c>
      <c r="N121" s="159">
        <v>0</v>
      </c>
      <c r="O121" s="159">
        <v>0</v>
      </c>
      <c r="P121" s="161">
        <f t="shared" si="30"/>
        <v>2693323.1100000003</v>
      </c>
      <c r="Q121" s="159">
        <f t="shared" si="31"/>
        <v>16770.380510585306</v>
      </c>
      <c r="R121" s="161">
        <v>14593.7</v>
      </c>
      <c r="S121" s="4" t="s">
        <v>279</v>
      </c>
      <c r="T121" s="152" t="s">
        <v>231</v>
      </c>
      <c r="U121" s="139"/>
      <c r="V121" s="139">
        <f>L122-'виды работ '!C118</f>
        <v>0</v>
      </c>
    </row>
    <row r="122" spans="1:22" s="232" customFormat="1" ht="17.25" customHeight="1" x14ac:dyDescent="0.2">
      <c r="A122" s="160">
        <f t="shared" si="32"/>
        <v>70</v>
      </c>
      <c r="B122" s="155" t="s">
        <v>588</v>
      </c>
      <c r="C122" s="153">
        <v>1917</v>
      </c>
      <c r="D122" s="153"/>
      <c r="E122" s="152" t="s">
        <v>255</v>
      </c>
      <c r="F122" s="153">
        <v>2</v>
      </c>
      <c r="G122" s="153">
        <v>2</v>
      </c>
      <c r="H122" s="161">
        <v>321.7</v>
      </c>
      <c r="I122" s="161">
        <v>321.7</v>
      </c>
      <c r="J122" s="161">
        <v>211.38</v>
      </c>
      <c r="K122" s="165">
        <v>7</v>
      </c>
      <c r="L122" s="161">
        <f>'виды работ '!C118</f>
        <v>3375367.39</v>
      </c>
      <c r="M122" s="159">
        <v>0</v>
      </c>
      <c r="N122" s="159">
        <v>0</v>
      </c>
      <c r="O122" s="159">
        <v>0</v>
      </c>
      <c r="P122" s="161">
        <f>L122</f>
        <v>3375367.39</v>
      </c>
      <c r="Q122" s="159">
        <f t="shared" si="31"/>
        <v>10492.282841156357</v>
      </c>
      <c r="R122" s="161">
        <v>14593.7</v>
      </c>
      <c r="S122" s="4" t="s">
        <v>279</v>
      </c>
      <c r="T122" s="152" t="s">
        <v>231</v>
      </c>
      <c r="U122" s="231"/>
      <c r="V122" s="139">
        <f>L123-'виды работ '!C119</f>
        <v>0</v>
      </c>
    </row>
    <row r="123" spans="1:22" s="232" customFormat="1" ht="17.25" customHeight="1" x14ac:dyDescent="0.2">
      <c r="A123" s="160">
        <f t="shared" si="32"/>
        <v>71</v>
      </c>
      <c r="B123" s="155" t="s">
        <v>589</v>
      </c>
      <c r="C123" s="153">
        <v>1917</v>
      </c>
      <c r="D123" s="153"/>
      <c r="E123" s="152" t="s">
        <v>255</v>
      </c>
      <c r="F123" s="153">
        <v>2</v>
      </c>
      <c r="G123" s="153">
        <v>2</v>
      </c>
      <c r="H123" s="161">
        <v>193.4</v>
      </c>
      <c r="I123" s="161">
        <v>193.4</v>
      </c>
      <c r="J123" s="161">
        <v>121.4</v>
      </c>
      <c r="K123" s="165">
        <v>11</v>
      </c>
      <c r="L123" s="161">
        <f>'виды работ '!C119</f>
        <v>437568.19</v>
      </c>
      <c r="M123" s="159">
        <v>0</v>
      </c>
      <c r="N123" s="159">
        <v>0</v>
      </c>
      <c r="O123" s="159">
        <v>0</v>
      </c>
      <c r="P123" s="161">
        <f>L123</f>
        <v>437568.19</v>
      </c>
      <c r="Q123" s="159">
        <f t="shared" si="31"/>
        <v>2262.5035677352635</v>
      </c>
      <c r="R123" s="161">
        <v>14593.7</v>
      </c>
      <c r="S123" s="4" t="s">
        <v>279</v>
      </c>
      <c r="T123" s="152" t="s">
        <v>231</v>
      </c>
      <c r="U123" s="231"/>
      <c r="V123" s="139">
        <f>L124-'виды работ '!C120</f>
        <v>0</v>
      </c>
    </row>
    <row r="124" spans="1:22" s="232" customFormat="1" ht="17.25" customHeight="1" x14ac:dyDescent="0.2">
      <c r="A124" s="160">
        <f t="shared" si="32"/>
        <v>72</v>
      </c>
      <c r="B124" s="155" t="s">
        <v>547</v>
      </c>
      <c r="C124" s="152">
        <v>1956</v>
      </c>
      <c r="D124" s="152"/>
      <c r="E124" s="152" t="s">
        <v>255</v>
      </c>
      <c r="F124" s="152">
        <v>2</v>
      </c>
      <c r="G124" s="152">
        <v>2</v>
      </c>
      <c r="H124" s="159">
        <v>359.23</v>
      </c>
      <c r="I124" s="159">
        <f>J124</f>
        <v>196.29</v>
      </c>
      <c r="J124" s="159">
        <v>196.29</v>
      </c>
      <c r="K124" s="160">
        <v>20</v>
      </c>
      <c r="L124" s="161">
        <f>'виды работ '!C120</f>
        <v>350774.94</v>
      </c>
      <c r="M124" s="159">
        <v>0</v>
      </c>
      <c r="N124" s="159">
        <v>0</v>
      </c>
      <c r="O124" s="159">
        <v>0</v>
      </c>
      <c r="P124" s="161">
        <f>L124</f>
        <v>350774.94</v>
      </c>
      <c r="Q124" s="159">
        <f t="shared" si="31"/>
        <v>976.46338000723767</v>
      </c>
      <c r="R124" s="161">
        <v>14593.7</v>
      </c>
      <c r="S124" s="4" t="s">
        <v>279</v>
      </c>
      <c r="T124" s="152" t="s">
        <v>231</v>
      </c>
      <c r="U124" s="231"/>
      <c r="V124" s="139">
        <f>L125-'виды работ '!C121</f>
        <v>0</v>
      </c>
    </row>
    <row r="125" spans="1:22" s="232" customFormat="1" ht="17.25" customHeight="1" x14ac:dyDescent="0.2">
      <c r="A125" s="160">
        <f t="shared" si="32"/>
        <v>73</v>
      </c>
      <c r="B125" s="155" t="s">
        <v>548</v>
      </c>
      <c r="C125" s="152">
        <v>1958</v>
      </c>
      <c r="D125" s="152"/>
      <c r="E125" s="152" t="s">
        <v>255</v>
      </c>
      <c r="F125" s="152">
        <v>2</v>
      </c>
      <c r="G125" s="152">
        <v>2</v>
      </c>
      <c r="H125" s="159">
        <v>409.25</v>
      </c>
      <c r="I125" s="159">
        <v>255</v>
      </c>
      <c r="J125" s="159">
        <v>255</v>
      </c>
      <c r="K125" s="160">
        <v>18</v>
      </c>
      <c r="L125" s="161">
        <f>'виды работ '!C121</f>
        <v>320483.28000000003</v>
      </c>
      <c r="M125" s="159">
        <v>0</v>
      </c>
      <c r="N125" s="159">
        <v>0</v>
      </c>
      <c r="O125" s="159">
        <v>0</v>
      </c>
      <c r="P125" s="161">
        <f>L125</f>
        <v>320483.28000000003</v>
      </c>
      <c r="Q125" s="159">
        <f t="shared" si="31"/>
        <v>783.09903481979234</v>
      </c>
      <c r="R125" s="161">
        <v>14593.7</v>
      </c>
      <c r="S125" s="4" t="s">
        <v>279</v>
      </c>
      <c r="T125" s="152" t="s">
        <v>231</v>
      </c>
      <c r="U125" s="231"/>
      <c r="V125" s="139">
        <f>L126-'виды работ '!C122</f>
        <v>0</v>
      </c>
    </row>
    <row r="126" spans="1:22" s="232" customFormat="1" ht="17.25" customHeight="1" x14ac:dyDescent="0.2">
      <c r="A126" s="160">
        <f t="shared" si="32"/>
        <v>74</v>
      </c>
      <c r="B126" s="155" t="s">
        <v>549</v>
      </c>
      <c r="C126" s="152">
        <v>1955</v>
      </c>
      <c r="D126" s="152"/>
      <c r="E126" s="152" t="s">
        <v>255</v>
      </c>
      <c r="F126" s="152">
        <v>2</v>
      </c>
      <c r="G126" s="152">
        <v>2</v>
      </c>
      <c r="H126" s="159">
        <v>389.9</v>
      </c>
      <c r="I126" s="159">
        <v>268</v>
      </c>
      <c r="J126" s="159">
        <v>268</v>
      </c>
      <c r="K126" s="160">
        <v>21</v>
      </c>
      <c r="L126" s="161">
        <f>'виды работ '!C122</f>
        <v>312000.26</v>
      </c>
      <c r="M126" s="159">
        <v>0</v>
      </c>
      <c r="N126" s="159">
        <v>0</v>
      </c>
      <c r="O126" s="159">
        <v>0</v>
      </c>
      <c r="P126" s="161">
        <f>L126</f>
        <v>312000.26</v>
      </c>
      <c r="Q126" s="159">
        <f t="shared" si="31"/>
        <v>800.20584765324452</v>
      </c>
      <c r="R126" s="161">
        <v>14593.7</v>
      </c>
      <c r="S126" s="4" t="s">
        <v>279</v>
      </c>
      <c r="T126" s="152" t="s">
        <v>231</v>
      </c>
      <c r="U126" s="231"/>
      <c r="V126" s="139">
        <f>L127-'виды работ '!C123</f>
        <v>0</v>
      </c>
    </row>
    <row r="127" spans="1:22" s="230" customFormat="1" ht="18" customHeight="1" x14ac:dyDescent="0.2">
      <c r="A127" s="196" t="s">
        <v>18</v>
      </c>
      <c r="B127" s="196"/>
      <c r="C127" s="153" t="s">
        <v>222</v>
      </c>
      <c r="D127" s="153" t="s">
        <v>222</v>
      </c>
      <c r="E127" s="153" t="s">
        <v>222</v>
      </c>
      <c r="F127" s="153" t="s">
        <v>222</v>
      </c>
      <c r="G127" s="153" t="s">
        <v>222</v>
      </c>
      <c r="H127" s="161">
        <f>SUM(H115:H126)</f>
        <v>7163.1</v>
      </c>
      <c r="I127" s="161">
        <f t="shared" ref="I127:P127" si="33">SUM(I115:I126)</f>
        <v>5169.12</v>
      </c>
      <c r="J127" s="161">
        <f t="shared" si="33"/>
        <v>4623.7300000000005</v>
      </c>
      <c r="K127" s="165">
        <f t="shared" si="33"/>
        <v>354</v>
      </c>
      <c r="L127" s="161">
        <f t="shared" si="33"/>
        <v>27067378.470000006</v>
      </c>
      <c r="M127" s="161">
        <f t="shared" si="33"/>
        <v>0</v>
      </c>
      <c r="N127" s="161">
        <f t="shared" si="33"/>
        <v>0</v>
      </c>
      <c r="O127" s="161">
        <f t="shared" si="33"/>
        <v>0</v>
      </c>
      <c r="P127" s="161">
        <f t="shared" si="33"/>
        <v>27067378.470000006</v>
      </c>
      <c r="Q127" s="159">
        <f t="shared" si="31"/>
        <v>3778.7240817523148</v>
      </c>
      <c r="R127" s="11" t="s">
        <v>222</v>
      </c>
      <c r="S127" s="25" t="s">
        <v>222</v>
      </c>
      <c r="T127" s="152" t="s">
        <v>222</v>
      </c>
      <c r="U127" s="139"/>
      <c r="V127" s="139">
        <f>L128-'виды работ '!C124</f>
        <v>0</v>
      </c>
    </row>
    <row r="128" spans="1:22" s="230" customFormat="1" ht="18" customHeight="1" x14ac:dyDescent="0.2">
      <c r="A128" s="188" t="s">
        <v>36</v>
      </c>
      <c r="B128" s="188"/>
      <c r="C128" s="188"/>
      <c r="D128" s="188"/>
      <c r="E128" s="188"/>
      <c r="F128" s="153"/>
      <c r="G128" s="153"/>
      <c r="H128" s="161"/>
      <c r="I128" s="161"/>
      <c r="J128" s="161"/>
      <c r="K128" s="161"/>
      <c r="L128" s="161"/>
      <c r="M128" s="161"/>
      <c r="N128" s="161"/>
      <c r="O128" s="161"/>
      <c r="P128" s="161"/>
      <c r="Q128" s="159"/>
      <c r="R128" s="11"/>
      <c r="S128" s="25"/>
      <c r="T128" s="152"/>
      <c r="U128" s="139"/>
      <c r="V128" s="139">
        <f>L129-'виды работ '!C125</f>
        <v>0</v>
      </c>
    </row>
    <row r="129" spans="1:22" s="230" customFormat="1" ht="18" customHeight="1" x14ac:dyDescent="0.2">
      <c r="A129" s="160">
        <f>A126+1</f>
        <v>75</v>
      </c>
      <c r="B129" s="26" t="s">
        <v>293</v>
      </c>
      <c r="C129" s="153">
        <v>1979</v>
      </c>
      <c r="D129" s="153"/>
      <c r="E129" s="152" t="s">
        <v>255</v>
      </c>
      <c r="F129" s="153">
        <v>2</v>
      </c>
      <c r="G129" s="153">
        <v>2</v>
      </c>
      <c r="H129" s="153">
        <v>342.8</v>
      </c>
      <c r="I129" s="153">
        <v>291.5</v>
      </c>
      <c r="J129" s="153">
        <v>155.69999999999999</v>
      </c>
      <c r="K129" s="153">
        <v>14</v>
      </c>
      <c r="L129" s="161">
        <f>'виды работ '!C125</f>
        <v>1090590.53</v>
      </c>
      <c r="M129" s="159">
        <v>0</v>
      </c>
      <c r="N129" s="159">
        <v>0</v>
      </c>
      <c r="O129" s="159">
        <v>0</v>
      </c>
      <c r="P129" s="161">
        <f>L129</f>
        <v>1090590.53</v>
      </c>
      <c r="Q129" s="159">
        <f>L129/H129</f>
        <v>3181.4192823803969</v>
      </c>
      <c r="R129" s="161">
        <v>14593.7</v>
      </c>
      <c r="S129" s="4" t="s">
        <v>279</v>
      </c>
      <c r="T129" s="152" t="s">
        <v>231</v>
      </c>
      <c r="U129" s="139"/>
      <c r="V129" s="139">
        <f>L130-'виды работ '!C126</f>
        <v>0</v>
      </c>
    </row>
    <row r="130" spans="1:22" s="230" customFormat="1" ht="18" customHeight="1" x14ac:dyDescent="0.2">
      <c r="A130" s="160">
        <f>A129+1</f>
        <v>76</v>
      </c>
      <c r="B130" s="26" t="s">
        <v>294</v>
      </c>
      <c r="C130" s="153">
        <v>1950</v>
      </c>
      <c r="D130" s="153"/>
      <c r="E130" s="152" t="s">
        <v>255</v>
      </c>
      <c r="F130" s="153">
        <v>2</v>
      </c>
      <c r="G130" s="153">
        <v>3</v>
      </c>
      <c r="H130" s="153">
        <v>326.5</v>
      </c>
      <c r="I130" s="153">
        <v>227.9</v>
      </c>
      <c r="J130" s="153">
        <v>160.80000000000001</v>
      </c>
      <c r="K130" s="153">
        <v>17</v>
      </c>
      <c r="L130" s="161">
        <f>'виды работ '!C126</f>
        <v>894207.54</v>
      </c>
      <c r="M130" s="159">
        <v>0</v>
      </c>
      <c r="N130" s="159">
        <v>0</v>
      </c>
      <c r="O130" s="159">
        <v>0</v>
      </c>
      <c r="P130" s="161">
        <f>L130</f>
        <v>894207.54</v>
      </c>
      <c r="Q130" s="159">
        <f>L130/H130</f>
        <v>2738.7673506891274</v>
      </c>
      <c r="R130" s="161">
        <v>14593.7</v>
      </c>
      <c r="S130" s="4" t="s">
        <v>279</v>
      </c>
      <c r="T130" s="152" t="s">
        <v>231</v>
      </c>
      <c r="U130" s="139"/>
      <c r="V130" s="139">
        <f>L131-'виды работ '!C127</f>
        <v>0</v>
      </c>
    </row>
    <row r="131" spans="1:22" s="230" customFormat="1" ht="18" customHeight="1" x14ac:dyDescent="0.2">
      <c r="A131" s="160">
        <f>A130+1</f>
        <v>77</v>
      </c>
      <c r="B131" s="26" t="s">
        <v>295</v>
      </c>
      <c r="C131" s="153">
        <v>1972</v>
      </c>
      <c r="D131" s="153"/>
      <c r="E131" s="152" t="s">
        <v>255</v>
      </c>
      <c r="F131" s="153">
        <v>2</v>
      </c>
      <c r="G131" s="153">
        <v>2</v>
      </c>
      <c r="H131" s="153">
        <v>270.7</v>
      </c>
      <c r="I131" s="153">
        <v>227.6</v>
      </c>
      <c r="J131" s="153">
        <v>160.16</v>
      </c>
      <c r="K131" s="153">
        <v>5</v>
      </c>
      <c r="L131" s="161">
        <f>'виды работ '!C127</f>
        <v>917107.24</v>
      </c>
      <c r="M131" s="159">
        <v>0</v>
      </c>
      <c r="N131" s="159">
        <v>0</v>
      </c>
      <c r="O131" s="159">
        <v>0</v>
      </c>
      <c r="P131" s="161">
        <f>L131</f>
        <v>917107.24</v>
      </c>
      <c r="Q131" s="159">
        <f>L131/H131</f>
        <v>3387.9100110823792</v>
      </c>
      <c r="R131" s="161">
        <v>14593.7</v>
      </c>
      <c r="S131" s="4" t="s">
        <v>279</v>
      </c>
      <c r="T131" s="152" t="s">
        <v>231</v>
      </c>
      <c r="U131" s="139"/>
      <c r="V131" s="139">
        <f>L132-'виды работ '!C128</f>
        <v>0</v>
      </c>
    </row>
    <row r="132" spans="1:22" s="230" customFormat="1" ht="18" customHeight="1" x14ac:dyDescent="0.2">
      <c r="A132" s="160">
        <f>A131+1</f>
        <v>78</v>
      </c>
      <c r="B132" s="26" t="s">
        <v>292</v>
      </c>
      <c r="C132" s="153">
        <v>1950</v>
      </c>
      <c r="D132" s="153"/>
      <c r="E132" s="152" t="s">
        <v>255</v>
      </c>
      <c r="F132" s="153">
        <v>2</v>
      </c>
      <c r="G132" s="153">
        <v>2</v>
      </c>
      <c r="H132" s="153">
        <v>482.6</v>
      </c>
      <c r="I132" s="153">
        <v>373.1</v>
      </c>
      <c r="J132" s="153">
        <v>124.1</v>
      </c>
      <c r="K132" s="153">
        <v>17</v>
      </c>
      <c r="L132" s="161">
        <f>'виды работ '!C128</f>
        <v>1436886.26</v>
      </c>
      <c r="M132" s="159">
        <v>0</v>
      </c>
      <c r="N132" s="159">
        <v>0</v>
      </c>
      <c r="O132" s="159">
        <v>0</v>
      </c>
      <c r="P132" s="161">
        <f>L132</f>
        <v>1436886.26</v>
      </c>
      <c r="Q132" s="159">
        <f>L132/H132</f>
        <v>2977.3855366763364</v>
      </c>
      <c r="R132" s="161">
        <v>14593.7</v>
      </c>
      <c r="S132" s="4" t="s">
        <v>279</v>
      </c>
      <c r="T132" s="152" t="s">
        <v>231</v>
      </c>
      <c r="U132" s="139"/>
      <c r="V132" s="139">
        <f>L133-'виды работ '!C129</f>
        <v>0</v>
      </c>
    </row>
    <row r="133" spans="1:22" s="230" customFormat="1" ht="18" customHeight="1" x14ac:dyDescent="0.2">
      <c r="A133" s="196" t="s">
        <v>18</v>
      </c>
      <c r="B133" s="196"/>
      <c r="C133" s="153" t="s">
        <v>222</v>
      </c>
      <c r="D133" s="153" t="s">
        <v>222</v>
      </c>
      <c r="E133" s="153" t="s">
        <v>222</v>
      </c>
      <c r="F133" s="153" t="s">
        <v>222</v>
      </c>
      <c r="G133" s="153" t="s">
        <v>222</v>
      </c>
      <c r="H133" s="161">
        <f>SUM(H129:H132)</f>
        <v>1422.6</v>
      </c>
      <c r="I133" s="161">
        <f t="shared" ref="I133:P133" si="34">SUM(I129:I132)</f>
        <v>1120.0999999999999</v>
      </c>
      <c r="J133" s="161">
        <f t="shared" si="34"/>
        <v>600.76</v>
      </c>
      <c r="K133" s="165">
        <f t="shared" si="34"/>
        <v>53</v>
      </c>
      <c r="L133" s="161">
        <f>SUM(L129:L132)</f>
        <v>4338791.57</v>
      </c>
      <c r="M133" s="161">
        <f t="shared" si="34"/>
        <v>0</v>
      </c>
      <c r="N133" s="161">
        <f t="shared" si="34"/>
        <v>0</v>
      </c>
      <c r="O133" s="161">
        <f t="shared" si="34"/>
        <v>0</v>
      </c>
      <c r="P133" s="161">
        <f t="shared" si="34"/>
        <v>4338791.57</v>
      </c>
      <c r="Q133" s="159">
        <f>L133/H133</f>
        <v>3049.9026922536204</v>
      </c>
      <c r="R133" s="11" t="s">
        <v>222</v>
      </c>
      <c r="S133" s="153" t="s">
        <v>222</v>
      </c>
      <c r="T133" s="152" t="s">
        <v>222</v>
      </c>
      <c r="U133" s="139"/>
      <c r="V133" s="139">
        <f>L134-'виды работ '!C130</f>
        <v>0</v>
      </c>
    </row>
    <row r="134" spans="1:22" s="138" customFormat="1" ht="18.75" customHeight="1" x14ac:dyDescent="0.2">
      <c r="A134" s="189" t="s">
        <v>37</v>
      </c>
      <c r="B134" s="189"/>
      <c r="C134" s="189"/>
      <c r="D134" s="189"/>
      <c r="E134" s="189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39"/>
      <c r="V134" s="139">
        <f>L135-'виды работ '!C131</f>
        <v>0</v>
      </c>
    </row>
    <row r="135" spans="1:22" s="230" customFormat="1" ht="18.75" customHeight="1" x14ac:dyDescent="0.2">
      <c r="A135" s="160">
        <f>A132+1</f>
        <v>79</v>
      </c>
      <c r="B135" s="14" t="s">
        <v>38</v>
      </c>
      <c r="C135" s="153">
        <v>1973</v>
      </c>
      <c r="D135" s="153"/>
      <c r="E135" s="152" t="s">
        <v>219</v>
      </c>
      <c r="F135" s="153">
        <v>2</v>
      </c>
      <c r="G135" s="153">
        <v>2</v>
      </c>
      <c r="H135" s="161">
        <v>715.33</v>
      </c>
      <c r="I135" s="161">
        <v>715.33</v>
      </c>
      <c r="J135" s="161">
        <v>608.55999999999995</v>
      </c>
      <c r="K135" s="165">
        <v>41</v>
      </c>
      <c r="L135" s="161">
        <f>'виды работ '!C131</f>
        <v>3561586.78</v>
      </c>
      <c r="M135" s="159">
        <v>0</v>
      </c>
      <c r="N135" s="159">
        <v>0</v>
      </c>
      <c r="O135" s="159">
        <v>0</v>
      </c>
      <c r="P135" s="161">
        <f>L135</f>
        <v>3561586.78</v>
      </c>
      <c r="Q135" s="159">
        <f>L135/H135</f>
        <v>4978.942278388995</v>
      </c>
      <c r="R135" s="161">
        <v>14593.7</v>
      </c>
      <c r="S135" s="4" t="s">
        <v>279</v>
      </c>
      <c r="T135" s="152" t="s">
        <v>231</v>
      </c>
      <c r="U135" s="139"/>
      <c r="V135" s="139">
        <f>L136-'виды работ '!C132</f>
        <v>0</v>
      </c>
    </row>
    <row r="136" spans="1:22" s="230" customFormat="1" ht="18.75" customHeight="1" x14ac:dyDescent="0.2">
      <c r="A136" s="160">
        <f>A135+1</f>
        <v>80</v>
      </c>
      <c r="B136" s="27" t="s">
        <v>39</v>
      </c>
      <c r="C136" s="153">
        <v>1982</v>
      </c>
      <c r="D136" s="153" t="s">
        <v>222</v>
      </c>
      <c r="E136" s="152" t="s">
        <v>223</v>
      </c>
      <c r="F136" s="153">
        <v>5</v>
      </c>
      <c r="G136" s="153">
        <v>4</v>
      </c>
      <c r="H136" s="153">
        <v>3037.8</v>
      </c>
      <c r="I136" s="153">
        <v>3037.8</v>
      </c>
      <c r="J136" s="153">
        <v>2843.79</v>
      </c>
      <c r="K136" s="153">
        <v>142</v>
      </c>
      <c r="L136" s="161">
        <f>'виды работ '!C132</f>
        <v>2224643.37</v>
      </c>
      <c r="M136" s="159">
        <v>0</v>
      </c>
      <c r="N136" s="159">
        <v>0</v>
      </c>
      <c r="O136" s="159">
        <v>0</v>
      </c>
      <c r="P136" s="161">
        <f>L136</f>
        <v>2224643.37</v>
      </c>
      <c r="Q136" s="159">
        <f>L136/H136</f>
        <v>732.32055105668576</v>
      </c>
      <c r="R136" s="161">
        <v>14593.7</v>
      </c>
      <c r="S136" s="4" t="s">
        <v>279</v>
      </c>
      <c r="T136" s="152" t="s">
        <v>231</v>
      </c>
      <c r="U136" s="139"/>
      <c r="V136" s="139">
        <f>L137-'виды работ '!C133</f>
        <v>0</v>
      </c>
    </row>
    <row r="137" spans="1:22" s="138" customFormat="1" ht="18.75" customHeight="1" x14ac:dyDescent="0.2">
      <c r="A137" s="171" t="s">
        <v>18</v>
      </c>
      <c r="B137" s="171"/>
      <c r="C137" s="159" t="s">
        <v>222</v>
      </c>
      <c r="D137" s="159" t="s">
        <v>222</v>
      </c>
      <c r="E137" s="159" t="s">
        <v>222</v>
      </c>
      <c r="F137" s="159" t="s">
        <v>222</v>
      </c>
      <c r="G137" s="159" t="s">
        <v>222</v>
      </c>
      <c r="H137" s="161">
        <f>SUM(H135:H136)</f>
        <v>3753.13</v>
      </c>
      <c r="I137" s="161">
        <f t="shared" ref="I137:P137" si="35">SUM(I135:I136)</f>
        <v>3753.13</v>
      </c>
      <c r="J137" s="161">
        <f t="shared" si="35"/>
        <v>3452.35</v>
      </c>
      <c r="K137" s="165">
        <f t="shared" si="35"/>
        <v>183</v>
      </c>
      <c r="L137" s="161">
        <f>SUM(L135:L136)</f>
        <v>5786230.1500000004</v>
      </c>
      <c r="M137" s="161">
        <f t="shared" si="35"/>
        <v>0</v>
      </c>
      <c r="N137" s="161">
        <f t="shared" si="35"/>
        <v>0</v>
      </c>
      <c r="O137" s="161">
        <f t="shared" si="35"/>
        <v>0</v>
      </c>
      <c r="P137" s="161">
        <f t="shared" si="35"/>
        <v>5786230.1500000004</v>
      </c>
      <c r="Q137" s="159">
        <f>L137/H137</f>
        <v>1541.7078944774096</v>
      </c>
      <c r="R137" s="11" t="s">
        <v>222</v>
      </c>
      <c r="S137" s="153" t="s">
        <v>222</v>
      </c>
      <c r="T137" s="152" t="s">
        <v>222</v>
      </c>
      <c r="U137" s="139"/>
      <c r="V137" s="139">
        <f>L138-'виды работ '!C134</f>
        <v>0</v>
      </c>
    </row>
    <row r="138" spans="1:22" s="230" customFormat="1" ht="19.5" customHeight="1" x14ac:dyDescent="0.2">
      <c r="A138" s="169" t="s">
        <v>40</v>
      </c>
      <c r="B138" s="169"/>
      <c r="C138" s="169"/>
      <c r="D138" s="158" t="s">
        <v>222</v>
      </c>
      <c r="E138" s="158" t="s">
        <v>222</v>
      </c>
      <c r="F138" s="158" t="s">
        <v>222</v>
      </c>
      <c r="G138" s="158" t="s">
        <v>222</v>
      </c>
      <c r="H138" s="166">
        <f t="shared" ref="H138:P138" si="36">H84+H89+H93+H110+H127+H137+H113+H133+H96</f>
        <v>54508.38</v>
      </c>
      <c r="I138" s="166">
        <f t="shared" si="36"/>
        <v>47375.6</v>
      </c>
      <c r="J138" s="166">
        <f t="shared" si="36"/>
        <v>38434.000000000007</v>
      </c>
      <c r="K138" s="16">
        <f t="shared" si="36"/>
        <v>2537</v>
      </c>
      <c r="L138" s="166">
        <f t="shared" si="36"/>
        <v>74304901.590000004</v>
      </c>
      <c r="M138" s="166">
        <f t="shared" si="36"/>
        <v>0</v>
      </c>
      <c r="N138" s="166">
        <f t="shared" si="36"/>
        <v>0</v>
      </c>
      <c r="O138" s="166">
        <f t="shared" si="36"/>
        <v>0</v>
      </c>
      <c r="P138" s="166">
        <f t="shared" si="36"/>
        <v>74304901.590000004</v>
      </c>
      <c r="Q138" s="159">
        <f>L138/H138</f>
        <v>1363.1830846926657</v>
      </c>
      <c r="R138" s="17" t="s">
        <v>222</v>
      </c>
      <c r="S138" s="166" t="s">
        <v>222</v>
      </c>
      <c r="T138" s="156" t="s">
        <v>222</v>
      </c>
      <c r="U138" s="166"/>
      <c r="V138" s="139">
        <f>L139-'виды работ '!C135</f>
        <v>0</v>
      </c>
    </row>
    <row r="139" spans="1:22" s="138" customFormat="1" ht="16.5" customHeight="1" x14ac:dyDescent="0.2">
      <c r="A139" s="185" t="s">
        <v>133</v>
      </c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V139" s="139">
        <f>L140-'виды работ '!C136</f>
        <v>0</v>
      </c>
    </row>
    <row r="140" spans="1:22" s="138" customFormat="1" ht="15.75" customHeight="1" x14ac:dyDescent="0.2">
      <c r="A140" s="168" t="s">
        <v>134</v>
      </c>
      <c r="B140" s="168"/>
      <c r="C140" s="168"/>
      <c r="D140" s="168"/>
      <c r="E140" s="168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39"/>
      <c r="V140" s="139">
        <f>L141-'виды работ '!C137</f>
        <v>0</v>
      </c>
    </row>
    <row r="141" spans="1:22" s="138" customFormat="1" ht="15.75" customHeight="1" x14ac:dyDescent="0.2">
      <c r="A141" s="160">
        <f>A136+1</f>
        <v>81</v>
      </c>
      <c r="B141" s="5" t="s">
        <v>296</v>
      </c>
      <c r="C141" s="152">
        <v>1959</v>
      </c>
      <c r="D141" s="152"/>
      <c r="E141" s="152" t="s">
        <v>219</v>
      </c>
      <c r="F141" s="152">
        <v>4</v>
      </c>
      <c r="G141" s="152">
        <v>3</v>
      </c>
      <c r="H141" s="159">
        <v>2714.25</v>
      </c>
      <c r="I141" s="159">
        <v>2026.58</v>
      </c>
      <c r="J141" s="159">
        <v>1766.8</v>
      </c>
      <c r="K141" s="152">
        <v>95</v>
      </c>
      <c r="L141" s="159">
        <f>'виды работ '!C137</f>
        <v>5012213.9000000004</v>
      </c>
      <c r="M141" s="159">
        <v>0</v>
      </c>
      <c r="N141" s="159">
        <v>0</v>
      </c>
      <c r="O141" s="159">
        <v>0</v>
      </c>
      <c r="P141" s="159">
        <f>L141</f>
        <v>5012213.9000000004</v>
      </c>
      <c r="Q141" s="159">
        <f t="shared" ref="Q141:Q146" si="37">L141/H141</f>
        <v>1846.6294188081424</v>
      </c>
      <c r="R141" s="161">
        <v>14593.7</v>
      </c>
      <c r="S141" s="4" t="s">
        <v>279</v>
      </c>
      <c r="T141" s="152" t="s">
        <v>231</v>
      </c>
      <c r="U141" s="139"/>
      <c r="V141" s="139">
        <f>L142-'виды работ '!C138</f>
        <v>0</v>
      </c>
    </row>
    <row r="142" spans="1:22" s="138" customFormat="1" ht="15.75" customHeight="1" x14ac:dyDescent="0.2">
      <c r="A142" s="160">
        <f>A141+1</f>
        <v>82</v>
      </c>
      <c r="B142" s="5" t="s">
        <v>297</v>
      </c>
      <c r="C142" s="152">
        <v>1963</v>
      </c>
      <c r="D142" s="152"/>
      <c r="E142" s="152" t="s">
        <v>219</v>
      </c>
      <c r="F142" s="152">
        <v>3</v>
      </c>
      <c r="G142" s="152">
        <v>2</v>
      </c>
      <c r="H142" s="159">
        <v>1068.4000000000001</v>
      </c>
      <c r="I142" s="159">
        <v>963.8</v>
      </c>
      <c r="J142" s="159">
        <v>846.7</v>
      </c>
      <c r="K142" s="152">
        <v>54</v>
      </c>
      <c r="L142" s="159">
        <f>'виды работ '!C138</f>
        <v>5926426.8499999996</v>
      </c>
      <c r="M142" s="159">
        <v>0</v>
      </c>
      <c r="N142" s="159">
        <v>0</v>
      </c>
      <c r="O142" s="159">
        <v>0</v>
      </c>
      <c r="P142" s="159">
        <f>L142</f>
        <v>5926426.8499999996</v>
      </c>
      <c r="Q142" s="159">
        <f t="shared" si="37"/>
        <v>5547.0112785473593</v>
      </c>
      <c r="R142" s="161">
        <v>14593.7</v>
      </c>
      <c r="S142" s="4" t="s">
        <v>279</v>
      </c>
      <c r="T142" s="152" t="s">
        <v>231</v>
      </c>
      <c r="U142" s="139"/>
      <c r="V142" s="139">
        <f>L143-'виды работ '!C139</f>
        <v>0</v>
      </c>
    </row>
    <row r="143" spans="1:22" s="138" customFormat="1" ht="15.75" customHeight="1" x14ac:dyDescent="0.2">
      <c r="A143" s="160">
        <f>A142+1</f>
        <v>83</v>
      </c>
      <c r="B143" s="5" t="s">
        <v>298</v>
      </c>
      <c r="C143" s="152">
        <v>1956</v>
      </c>
      <c r="D143" s="152"/>
      <c r="E143" s="152" t="s">
        <v>219</v>
      </c>
      <c r="F143" s="152">
        <v>3</v>
      </c>
      <c r="G143" s="152">
        <v>4</v>
      </c>
      <c r="H143" s="159">
        <v>1815.6</v>
      </c>
      <c r="I143" s="159">
        <v>1564.6</v>
      </c>
      <c r="J143" s="159">
        <v>1506.9</v>
      </c>
      <c r="K143" s="152">
        <v>67</v>
      </c>
      <c r="L143" s="159">
        <f>'виды работ '!C139</f>
        <v>12879789.82</v>
      </c>
      <c r="M143" s="159">
        <v>0</v>
      </c>
      <c r="N143" s="159">
        <v>0</v>
      </c>
      <c r="O143" s="159">
        <v>0</v>
      </c>
      <c r="P143" s="159">
        <f>L143</f>
        <v>12879789.82</v>
      </c>
      <c r="Q143" s="159">
        <f t="shared" si="37"/>
        <v>7093.9578211059707</v>
      </c>
      <c r="R143" s="161">
        <v>14593.7</v>
      </c>
      <c r="S143" s="4" t="s">
        <v>279</v>
      </c>
      <c r="T143" s="152" t="s">
        <v>231</v>
      </c>
      <c r="U143" s="139"/>
      <c r="V143" s="139">
        <f>L144-'виды работ '!C140</f>
        <v>0</v>
      </c>
    </row>
    <row r="144" spans="1:22" s="138" customFormat="1" ht="15.75" customHeight="1" x14ac:dyDescent="0.2">
      <c r="A144" s="160">
        <f>A143+1</f>
        <v>84</v>
      </c>
      <c r="B144" s="5" t="s">
        <v>299</v>
      </c>
      <c r="C144" s="152">
        <v>1975</v>
      </c>
      <c r="D144" s="152"/>
      <c r="E144" s="152" t="s">
        <v>219</v>
      </c>
      <c r="F144" s="152">
        <v>2</v>
      </c>
      <c r="G144" s="152">
        <v>3</v>
      </c>
      <c r="H144" s="159">
        <v>1010.9</v>
      </c>
      <c r="I144" s="159">
        <v>868</v>
      </c>
      <c r="J144" s="159">
        <v>643.1</v>
      </c>
      <c r="K144" s="152">
        <v>61</v>
      </c>
      <c r="L144" s="159">
        <f>'виды работ '!C140</f>
        <v>1690083.71</v>
      </c>
      <c r="M144" s="159">
        <v>0</v>
      </c>
      <c r="N144" s="159">
        <v>0</v>
      </c>
      <c r="O144" s="159">
        <v>0</v>
      </c>
      <c r="P144" s="159">
        <f>L144</f>
        <v>1690083.71</v>
      </c>
      <c r="Q144" s="159">
        <f t="shared" si="37"/>
        <v>1671.8604312988425</v>
      </c>
      <c r="R144" s="161">
        <v>14593.7</v>
      </c>
      <c r="S144" s="4" t="s">
        <v>279</v>
      </c>
      <c r="T144" s="152" t="s">
        <v>231</v>
      </c>
      <c r="U144" s="139"/>
      <c r="V144" s="139">
        <f>L145-'виды работ '!C141</f>
        <v>0</v>
      </c>
    </row>
    <row r="145" spans="1:22" s="138" customFormat="1" ht="15.75" customHeight="1" x14ac:dyDescent="0.2">
      <c r="A145" s="160">
        <f>A144+1</f>
        <v>85</v>
      </c>
      <c r="B145" s="155" t="s">
        <v>551</v>
      </c>
      <c r="C145" s="152">
        <v>1965</v>
      </c>
      <c r="D145" s="152"/>
      <c r="E145" s="152" t="s">
        <v>219</v>
      </c>
      <c r="F145" s="152">
        <v>2</v>
      </c>
      <c r="G145" s="152">
        <v>2</v>
      </c>
      <c r="H145" s="159">
        <v>1015.8</v>
      </c>
      <c r="I145" s="159">
        <v>632.70000000000005</v>
      </c>
      <c r="J145" s="159">
        <v>632.70000000000005</v>
      </c>
      <c r="K145" s="160">
        <v>19</v>
      </c>
      <c r="L145" s="160">
        <f>'виды работ '!C141</f>
        <v>2758279.16</v>
      </c>
      <c r="M145" s="159">
        <v>0</v>
      </c>
      <c r="N145" s="159">
        <v>0</v>
      </c>
      <c r="O145" s="159">
        <v>0</v>
      </c>
      <c r="P145" s="159">
        <f>L145</f>
        <v>2758279.16</v>
      </c>
      <c r="Q145" s="159">
        <f>L145/H145</f>
        <v>2715.3762157905103</v>
      </c>
      <c r="R145" s="161">
        <v>14593.7</v>
      </c>
      <c r="S145" s="4" t="s">
        <v>279</v>
      </c>
      <c r="T145" s="152" t="s">
        <v>231</v>
      </c>
      <c r="U145" s="139"/>
      <c r="V145" s="139">
        <f>L146-'виды работ '!C142</f>
        <v>0</v>
      </c>
    </row>
    <row r="146" spans="1:22" s="138" customFormat="1" ht="15.75" customHeight="1" x14ac:dyDescent="0.2">
      <c r="A146" s="171" t="s">
        <v>18</v>
      </c>
      <c r="B146" s="171"/>
      <c r="C146" s="159" t="s">
        <v>222</v>
      </c>
      <c r="D146" s="159" t="s">
        <v>222</v>
      </c>
      <c r="E146" s="159" t="s">
        <v>222</v>
      </c>
      <c r="F146" s="159" t="s">
        <v>222</v>
      </c>
      <c r="G146" s="159" t="s">
        <v>222</v>
      </c>
      <c r="H146" s="28">
        <f>SUM(H141:H145)</f>
        <v>7624.95</v>
      </c>
      <c r="I146" s="28">
        <f t="shared" ref="I146:P146" si="38">SUM(I141:I145)</f>
        <v>6055.6799999999994</v>
      </c>
      <c r="J146" s="28">
        <f t="shared" si="38"/>
        <v>5396.2</v>
      </c>
      <c r="K146" s="29">
        <f t="shared" si="38"/>
        <v>296</v>
      </c>
      <c r="L146" s="28">
        <f t="shared" si="38"/>
        <v>28266793.440000001</v>
      </c>
      <c r="M146" s="28">
        <f t="shared" si="38"/>
        <v>0</v>
      </c>
      <c r="N146" s="28">
        <f t="shared" si="38"/>
        <v>0</v>
      </c>
      <c r="O146" s="28">
        <f t="shared" si="38"/>
        <v>0</v>
      </c>
      <c r="P146" s="28">
        <f t="shared" si="38"/>
        <v>28266793.440000001</v>
      </c>
      <c r="Q146" s="159">
        <f t="shared" si="37"/>
        <v>3707.1447602935104</v>
      </c>
      <c r="R146" s="11" t="s">
        <v>222</v>
      </c>
      <c r="S146" s="30" t="s">
        <v>222</v>
      </c>
      <c r="T146" s="152" t="s">
        <v>222</v>
      </c>
      <c r="U146" s="139"/>
      <c r="V146" s="139">
        <f>L147-'виды работ '!C143</f>
        <v>0</v>
      </c>
    </row>
    <row r="147" spans="1:22" s="138" customFormat="1" ht="15.75" customHeight="1" x14ac:dyDescent="0.2">
      <c r="A147" s="168" t="s">
        <v>135</v>
      </c>
      <c r="B147" s="168"/>
      <c r="C147" s="168"/>
      <c r="D147" s="168"/>
      <c r="E147" s="168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39"/>
      <c r="V147" s="139">
        <f>L148-'виды работ '!C144</f>
        <v>0</v>
      </c>
    </row>
    <row r="148" spans="1:22" s="138" customFormat="1" ht="15.75" customHeight="1" x14ac:dyDescent="0.2">
      <c r="A148" s="160">
        <f>A145+1</f>
        <v>86</v>
      </c>
      <c r="B148" s="5" t="s">
        <v>300</v>
      </c>
      <c r="C148" s="31">
        <v>1993</v>
      </c>
      <c r="D148" s="7"/>
      <c r="E148" s="152" t="s">
        <v>223</v>
      </c>
      <c r="F148" s="7">
        <v>5</v>
      </c>
      <c r="G148" s="7">
        <v>3</v>
      </c>
      <c r="H148" s="32">
        <v>3820.4</v>
      </c>
      <c r="I148" s="33">
        <v>3454.96</v>
      </c>
      <c r="J148" s="34">
        <v>3454.2</v>
      </c>
      <c r="K148" s="10">
        <v>133</v>
      </c>
      <c r="L148" s="159">
        <f>'виды работ '!C144</f>
        <v>1837390.48</v>
      </c>
      <c r="M148" s="159">
        <v>0</v>
      </c>
      <c r="N148" s="159">
        <v>0</v>
      </c>
      <c r="O148" s="159">
        <v>0</v>
      </c>
      <c r="P148" s="159">
        <f>L148</f>
        <v>1837390.48</v>
      </c>
      <c r="Q148" s="159">
        <f>L148/H148</f>
        <v>480.94191184169193</v>
      </c>
      <c r="R148" s="161">
        <v>14593.7</v>
      </c>
      <c r="S148" s="4" t="s">
        <v>279</v>
      </c>
      <c r="T148" s="152" t="s">
        <v>231</v>
      </c>
      <c r="U148" s="139"/>
      <c r="V148" s="139">
        <f>L149-'виды работ '!C145</f>
        <v>0</v>
      </c>
    </row>
    <row r="149" spans="1:22" s="138" customFormat="1" ht="15.75" customHeight="1" x14ac:dyDescent="0.2">
      <c r="A149" s="160">
        <f>A148+1</f>
        <v>87</v>
      </c>
      <c r="B149" s="5" t="s">
        <v>301</v>
      </c>
      <c r="C149" s="31">
        <v>1971</v>
      </c>
      <c r="D149" s="7"/>
      <c r="E149" s="152" t="s">
        <v>219</v>
      </c>
      <c r="F149" s="7">
        <v>2</v>
      </c>
      <c r="G149" s="7">
        <v>2</v>
      </c>
      <c r="H149" s="35">
        <v>1043.0999999999999</v>
      </c>
      <c r="I149" s="33">
        <v>794.7</v>
      </c>
      <c r="J149" s="34">
        <v>634.20000000000005</v>
      </c>
      <c r="K149" s="10">
        <v>42</v>
      </c>
      <c r="L149" s="159">
        <f>'виды работ '!C145</f>
        <v>1649892.87</v>
      </c>
      <c r="M149" s="159">
        <v>0</v>
      </c>
      <c r="N149" s="159">
        <v>0</v>
      </c>
      <c r="O149" s="159">
        <v>0</v>
      </c>
      <c r="P149" s="159">
        <f>L149</f>
        <v>1649892.87</v>
      </c>
      <c r="Q149" s="159">
        <f>L149/H149</f>
        <v>1581.7207075064714</v>
      </c>
      <c r="R149" s="161">
        <v>14593.7</v>
      </c>
      <c r="S149" s="4" t="s">
        <v>279</v>
      </c>
      <c r="T149" s="152" t="s">
        <v>231</v>
      </c>
      <c r="U149" s="139"/>
      <c r="V149" s="139">
        <f>L150-'виды работ '!C146</f>
        <v>0</v>
      </c>
    </row>
    <row r="150" spans="1:22" s="138" customFormat="1" ht="15.75" customHeight="1" x14ac:dyDescent="0.2">
      <c r="A150" s="171" t="s">
        <v>18</v>
      </c>
      <c r="B150" s="171"/>
      <c r="C150" s="159" t="s">
        <v>222</v>
      </c>
      <c r="D150" s="159" t="s">
        <v>222</v>
      </c>
      <c r="E150" s="159" t="s">
        <v>222</v>
      </c>
      <c r="F150" s="159" t="s">
        <v>222</v>
      </c>
      <c r="G150" s="159" t="s">
        <v>222</v>
      </c>
      <c r="H150" s="28">
        <f t="shared" ref="H150:P150" si="39">SUM(H148:H149)</f>
        <v>4863.5</v>
      </c>
      <c r="I150" s="28">
        <f t="shared" si="39"/>
        <v>4249.66</v>
      </c>
      <c r="J150" s="28">
        <f t="shared" si="39"/>
        <v>4088.3999999999996</v>
      </c>
      <c r="K150" s="29">
        <f t="shared" si="39"/>
        <v>175</v>
      </c>
      <c r="L150" s="28">
        <f t="shared" si="39"/>
        <v>3487283.35</v>
      </c>
      <c r="M150" s="28">
        <f t="shared" si="39"/>
        <v>0</v>
      </c>
      <c r="N150" s="28">
        <f t="shared" si="39"/>
        <v>0</v>
      </c>
      <c r="O150" s="28">
        <f t="shared" si="39"/>
        <v>0</v>
      </c>
      <c r="P150" s="28">
        <f t="shared" si="39"/>
        <v>3487283.35</v>
      </c>
      <c r="Q150" s="159">
        <f>L150/H150</f>
        <v>717.03163359720372</v>
      </c>
      <c r="R150" s="11" t="s">
        <v>222</v>
      </c>
      <c r="S150" s="30" t="s">
        <v>222</v>
      </c>
      <c r="T150" s="152" t="s">
        <v>222</v>
      </c>
      <c r="U150" s="139"/>
      <c r="V150" s="139">
        <f>L151-'виды работ '!C147</f>
        <v>0</v>
      </c>
    </row>
    <row r="151" spans="1:22" s="138" customFormat="1" ht="15.75" customHeight="1" x14ac:dyDescent="0.2">
      <c r="A151" s="168" t="s">
        <v>136</v>
      </c>
      <c r="B151" s="168"/>
      <c r="C151" s="168"/>
      <c r="D151" s="168"/>
      <c r="E151" s="168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39"/>
      <c r="V151" s="139">
        <f>L152-'виды работ '!C148</f>
        <v>0</v>
      </c>
    </row>
    <row r="152" spans="1:22" s="138" customFormat="1" ht="16.5" customHeight="1" x14ac:dyDescent="0.2">
      <c r="A152" s="160">
        <f>A149+1</f>
        <v>88</v>
      </c>
      <c r="B152" s="5" t="s">
        <v>302</v>
      </c>
      <c r="C152" s="153">
        <v>1958</v>
      </c>
      <c r="D152" s="153"/>
      <c r="E152" s="152" t="s">
        <v>219</v>
      </c>
      <c r="F152" s="153">
        <v>3</v>
      </c>
      <c r="G152" s="153">
        <v>2</v>
      </c>
      <c r="H152" s="153">
        <v>1344.09</v>
      </c>
      <c r="I152" s="152">
        <v>1260</v>
      </c>
      <c r="J152" s="153">
        <v>1225.99</v>
      </c>
      <c r="K152" s="153">
        <v>40</v>
      </c>
      <c r="L152" s="28">
        <f>'виды работ '!C148</f>
        <v>2239816.86</v>
      </c>
      <c r="M152" s="159">
        <v>0</v>
      </c>
      <c r="N152" s="159">
        <v>0</v>
      </c>
      <c r="O152" s="159">
        <v>0</v>
      </c>
      <c r="P152" s="159">
        <f t="shared" ref="P152:P157" si="40">L152</f>
        <v>2239816.86</v>
      </c>
      <c r="Q152" s="159">
        <f t="shared" ref="Q152:Q158" si="41">L152/H152</f>
        <v>1666.4188112403187</v>
      </c>
      <c r="R152" s="161">
        <v>14593.7</v>
      </c>
      <c r="S152" s="4" t="s">
        <v>279</v>
      </c>
      <c r="T152" s="152" t="s">
        <v>231</v>
      </c>
      <c r="U152" s="139"/>
      <c r="V152" s="139">
        <f>L153-'виды работ '!C149</f>
        <v>0</v>
      </c>
    </row>
    <row r="153" spans="1:22" s="138" customFormat="1" ht="16.5" customHeight="1" x14ac:dyDescent="0.2">
      <c r="A153" s="160">
        <f>A152+1</f>
        <v>89</v>
      </c>
      <c r="B153" s="5" t="s">
        <v>303</v>
      </c>
      <c r="C153" s="153">
        <v>1967</v>
      </c>
      <c r="D153" s="153"/>
      <c r="E153" s="152" t="s">
        <v>219</v>
      </c>
      <c r="F153" s="153">
        <v>4</v>
      </c>
      <c r="G153" s="153">
        <v>3</v>
      </c>
      <c r="H153" s="153">
        <v>2065.8000000000002</v>
      </c>
      <c r="I153" s="153">
        <v>1880.7</v>
      </c>
      <c r="J153" s="153">
        <v>1787.9</v>
      </c>
      <c r="K153" s="153">
        <v>82</v>
      </c>
      <c r="L153" s="28">
        <f>'виды работ '!C149</f>
        <v>1366243.58</v>
      </c>
      <c r="M153" s="159">
        <v>0</v>
      </c>
      <c r="N153" s="159">
        <v>0</v>
      </c>
      <c r="O153" s="159">
        <v>0</v>
      </c>
      <c r="P153" s="159">
        <f t="shared" si="40"/>
        <v>1366243.58</v>
      </c>
      <c r="Q153" s="159">
        <f t="shared" si="41"/>
        <v>661.36294897860387</v>
      </c>
      <c r="R153" s="161">
        <v>14593.7</v>
      </c>
      <c r="S153" s="4" t="s">
        <v>279</v>
      </c>
      <c r="T153" s="152" t="s">
        <v>231</v>
      </c>
      <c r="U153" s="139"/>
      <c r="V153" s="139">
        <f>L154-'виды работ '!C150</f>
        <v>0</v>
      </c>
    </row>
    <row r="154" spans="1:22" s="138" customFormat="1" ht="16.5" customHeight="1" x14ac:dyDescent="0.2">
      <c r="A154" s="160">
        <f>A153+1</f>
        <v>90</v>
      </c>
      <c r="B154" s="5" t="s">
        <v>304</v>
      </c>
      <c r="C154" s="153">
        <v>1962</v>
      </c>
      <c r="D154" s="153"/>
      <c r="E154" s="152" t="s">
        <v>219</v>
      </c>
      <c r="F154" s="153">
        <v>2</v>
      </c>
      <c r="G154" s="153">
        <v>1</v>
      </c>
      <c r="H154" s="153">
        <v>416.6</v>
      </c>
      <c r="I154" s="153">
        <v>376.7</v>
      </c>
      <c r="J154" s="153">
        <v>271.10000000000002</v>
      </c>
      <c r="K154" s="153">
        <v>13</v>
      </c>
      <c r="L154" s="28">
        <f>'виды работ '!C150</f>
        <v>1914599.33</v>
      </c>
      <c r="M154" s="159">
        <v>0</v>
      </c>
      <c r="N154" s="159">
        <v>0</v>
      </c>
      <c r="O154" s="159">
        <v>0</v>
      </c>
      <c r="P154" s="159">
        <f t="shared" si="40"/>
        <v>1914599.33</v>
      </c>
      <c r="Q154" s="159">
        <f t="shared" si="41"/>
        <v>4595.7737157945267</v>
      </c>
      <c r="R154" s="161">
        <v>14593.7</v>
      </c>
      <c r="S154" s="4" t="s">
        <v>279</v>
      </c>
      <c r="T154" s="152" t="s">
        <v>231</v>
      </c>
      <c r="U154" s="139"/>
      <c r="V154" s="139">
        <f>L155-'виды работ '!C151</f>
        <v>0</v>
      </c>
    </row>
    <row r="155" spans="1:22" s="138" customFormat="1" ht="16.5" customHeight="1" x14ac:dyDescent="0.2">
      <c r="A155" s="160">
        <f>A154+1</f>
        <v>91</v>
      </c>
      <c r="B155" s="5" t="s">
        <v>305</v>
      </c>
      <c r="C155" s="153">
        <v>1961</v>
      </c>
      <c r="D155" s="153"/>
      <c r="E155" s="152" t="s">
        <v>219</v>
      </c>
      <c r="F155" s="153">
        <v>2</v>
      </c>
      <c r="G155" s="153">
        <v>2</v>
      </c>
      <c r="H155" s="153">
        <v>727.77</v>
      </c>
      <c r="I155" s="153">
        <v>647.97</v>
      </c>
      <c r="J155" s="153">
        <v>647.97</v>
      </c>
      <c r="K155" s="153">
        <v>26</v>
      </c>
      <c r="L155" s="28">
        <f>'виды работ '!C151</f>
        <v>1934954.35</v>
      </c>
      <c r="M155" s="159">
        <v>0</v>
      </c>
      <c r="N155" s="159">
        <v>0</v>
      </c>
      <c r="O155" s="159">
        <v>0</v>
      </c>
      <c r="P155" s="159">
        <f t="shared" si="40"/>
        <v>1934954.35</v>
      </c>
      <c r="Q155" s="159">
        <f t="shared" si="41"/>
        <v>2658.7443148247389</v>
      </c>
      <c r="R155" s="161">
        <v>14593.7</v>
      </c>
      <c r="S155" s="4" t="s">
        <v>279</v>
      </c>
      <c r="T155" s="152" t="s">
        <v>231</v>
      </c>
      <c r="U155" s="139"/>
      <c r="V155" s="139">
        <f>L156-'виды работ '!C152</f>
        <v>0</v>
      </c>
    </row>
    <row r="156" spans="1:22" s="138" customFormat="1" ht="16.5" customHeight="1" x14ac:dyDescent="0.2">
      <c r="A156" s="160">
        <f>A155+1</f>
        <v>92</v>
      </c>
      <c r="B156" s="5" t="s">
        <v>306</v>
      </c>
      <c r="C156" s="153">
        <v>1961</v>
      </c>
      <c r="D156" s="153"/>
      <c r="E156" s="152" t="s">
        <v>219</v>
      </c>
      <c r="F156" s="153">
        <v>2</v>
      </c>
      <c r="G156" s="153">
        <v>1</v>
      </c>
      <c r="H156" s="7">
        <v>501</v>
      </c>
      <c r="I156" s="153">
        <v>366.2</v>
      </c>
      <c r="J156" s="153">
        <v>366.2</v>
      </c>
      <c r="K156" s="153">
        <v>15</v>
      </c>
      <c r="L156" s="28">
        <f>'виды работ '!C152</f>
        <v>1914599.33</v>
      </c>
      <c r="M156" s="159">
        <v>0</v>
      </c>
      <c r="N156" s="159">
        <v>0</v>
      </c>
      <c r="O156" s="159">
        <v>0</v>
      </c>
      <c r="P156" s="159">
        <f t="shared" si="40"/>
        <v>1914599.33</v>
      </c>
      <c r="Q156" s="159">
        <f t="shared" si="41"/>
        <v>3821.5555489021958</v>
      </c>
      <c r="R156" s="161">
        <v>14593.7</v>
      </c>
      <c r="S156" s="4" t="s">
        <v>279</v>
      </c>
      <c r="T156" s="152" t="s">
        <v>231</v>
      </c>
      <c r="U156" s="139"/>
      <c r="V156" s="139">
        <f>L157-'виды работ '!C153</f>
        <v>0</v>
      </c>
    </row>
    <row r="157" spans="1:22" s="138" customFormat="1" ht="16.5" customHeight="1" x14ac:dyDescent="0.2">
      <c r="A157" s="160">
        <f>A156+1</f>
        <v>93</v>
      </c>
      <c r="B157" s="5" t="s">
        <v>307</v>
      </c>
      <c r="C157" s="153">
        <v>1960</v>
      </c>
      <c r="D157" s="153"/>
      <c r="E157" s="152" t="s">
        <v>219</v>
      </c>
      <c r="F157" s="153">
        <v>2</v>
      </c>
      <c r="G157" s="153">
        <v>2</v>
      </c>
      <c r="H157" s="153">
        <v>737.8</v>
      </c>
      <c r="I157" s="153">
        <v>658</v>
      </c>
      <c r="J157" s="153">
        <v>626.5</v>
      </c>
      <c r="K157" s="153">
        <v>35</v>
      </c>
      <c r="L157" s="28">
        <f>'виды работ '!C153</f>
        <v>2936726.12</v>
      </c>
      <c r="M157" s="159">
        <v>0</v>
      </c>
      <c r="N157" s="159">
        <v>0</v>
      </c>
      <c r="O157" s="159">
        <v>0</v>
      </c>
      <c r="P157" s="159">
        <f t="shared" si="40"/>
        <v>2936726.12</v>
      </c>
      <c r="Q157" s="159">
        <f t="shared" si="41"/>
        <v>3980.3823800487939</v>
      </c>
      <c r="R157" s="161">
        <v>14593.7</v>
      </c>
      <c r="S157" s="4" t="s">
        <v>279</v>
      </c>
      <c r="T157" s="152" t="s">
        <v>231</v>
      </c>
      <c r="U157" s="139"/>
      <c r="V157" s="139">
        <f>L158-'виды работ '!C154</f>
        <v>0</v>
      </c>
    </row>
    <row r="158" spans="1:22" s="138" customFormat="1" ht="16.5" customHeight="1" x14ac:dyDescent="0.2">
      <c r="A158" s="171" t="s">
        <v>18</v>
      </c>
      <c r="B158" s="171"/>
      <c r="C158" s="159" t="s">
        <v>222</v>
      </c>
      <c r="D158" s="159" t="s">
        <v>222</v>
      </c>
      <c r="E158" s="159" t="s">
        <v>222</v>
      </c>
      <c r="F158" s="159" t="s">
        <v>222</v>
      </c>
      <c r="G158" s="159" t="s">
        <v>222</v>
      </c>
      <c r="H158" s="28">
        <f>SUM(H152:H157)</f>
        <v>5793.06</v>
      </c>
      <c r="I158" s="28">
        <f t="shared" ref="I158:P158" si="42">SUM(I152:I157)</f>
        <v>5189.57</v>
      </c>
      <c r="J158" s="28">
        <f t="shared" si="42"/>
        <v>4925.66</v>
      </c>
      <c r="K158" s="29">
        <f t="shared" si="42"/>
        <v>211</v>
      </c>
      <c r="L158" s="28">
        <f>SUM(L152:L157)</f>
        <v>12306939.57</v>
      </c>
      <c r="M158" s="28">
        <f t="shared" si="42"/>
        <v>0</v>
      </c>
      <c r="N158" s="28">
        <f t="shared" si="42"/>
        <v>0</v>
      </c>
      <c r="O158" s="28">
        <f t="shared" si="42"/>
        <v>0</v>
      </c>
      <c r="P158" s="28">
        <f t="shared" si="42"/>
        <v>12306939.57</v>
      </c>
      <c r="Q158" s="159">
        <f t="shared" si="41"/>
        <v>2124.4281208894781</v>
      </c>
      <c r="R158" s="11" t="s">
        <v>222</v>
      </c>
      <c r="S158" s="30" t="s">
        <v>222</v>
      </c>
      <c r="T158" s="152" t="s">
        <v>222</v>
      </c>
      <c r="U158" s="139"/>
      <c r="V158" s="139">
        <f>L159-'виды работ '!C155</f>
        <v>0</v>
      </c>
    </row>
    <row r="159" spans="1:22" s="138" customFormat="1" ht="21" customHeight="1" x14ac:dyDescent="0.2">
      <c r="A159" s="168" t="s">
        <v>137</v>
      </c>
      <c r="B159" s="168"/>
      <c r="C159" s="168"/>
      <c r="D159" s="168"/>
      <c r="E159" s="168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39"/>
      <c r="V159" s="139">
        <f>L160-'виды работ '!C156</f>
        <v>0</v>
      </c>
    </row>
    <row r="160" spans="1:22" s="138" customFormat="1" ht="15.75" customHeight="1" x14ac:dyDescent="0.2">
      <c r="A160" s="160">
        <f>A157+1</f>
        <v>94</v>
      </c>
      <c r="B160" s="5" t="s">
        <v>308</v>
      </c>
      <c r="C160" s="152">
        <v>1973</v>
      </c>
      <c r="D160" s="152"/>
      <c r="E160" s="152" t="s">
        <v>219</v>
      </c>
      <c r="F160" s="152">
        <v>5</v>
      </c>
      <c r="G160" s="152">
        <v>6</v>
      </c>
      <c r="H160" s="9">
        <v>5040.6000000000004</v>
      </c>
      <c r="I160" s="159">
        <v>4606.8</v>
      </c>
      <c r="J160" s="159">
        <v>3703.1</v>
      </c>
      <c r="K160" s="152">
        <v>209</v>
      </c>
      <c r="L160" s="159">
        <f>'виды работ '!C156</f>
        <v>718482.76</v>
      </c>
      <c r="M160" s="159">
        <v>0</v>
      </c>
      <c r="N160" s="159">
        <v>0</v>
      </c>
      <c r="O160" s="159">
        <v>0</v>
      </c>
      <c r="P160" s="159">
        <f t="shared" ref="P160:P165" si="43">L160</f>
        <v>718482.76</v>
      </c>
      <c r="Q160" s="159">
        <f t="shared" ref="Q160:Q166" si="44">L160/H160</f>
        <v>142.53913423005196</v>
      </c>
      <c r="R160" s="161">
        <v>14593.7</v>
      </c>
      <c r="S160" s="4" t="s">
        <v>279</v>
      </c>
      <c r="T160" s="152" t="s">
        <v>231</v>
      </c>
      <c r="U160" s="139"/>
      <c r="V160" s="139">
        <f>L161-'виды работ '!C157</f>
        <v>0</v>
      </c>
    </row>
    <row r="161" spans="1:22" s="138" customFormat="1" ht="15.75" customHeight="1" x14ac:dyDescent="0.2">
      <c r="A161" s="160">
        <f>A160+1</f>
        <v>95</v>
      </c>
      <c r="B161" s="5" t="s">
        <v>309</v>
      </c>
      <c r="C161" s="152">
        <v>1958</v>
      </c>
      <c r="D161" s="152"/>
      <c r="E161" s="152" t="s">
        <v>219</v>
      </c>
      <c r="F161" s="152">
        <v>3</v>
      </c>
      <c r="G161" s="152">
        <v>5</v>
      </c>
      <c r="H161" s="159">
        <v>2372.61</v>
      </c>
      <c r="I161" s="159">
        <v>2124.61</v>
      </c>
      <c r="J161" s="159">
        <v>1320.67</v>
      </c>
      <c r="K161" s="152">
        <v>110</v>
      </c>
      <c r="L161" s="159">
        <f>'виды работ '!C157</f>
        <v>493821.67</v>
      </c>
      <c r="M161" s="159">
        <v>0</v>
      </c>
      <c r="N161" s="159">
        <v>0</v>
      </c>
      <c r="O161" s="159">
        <v>0</v>
      </c>
      <c r="P161" s="159">
        <f t="shared" si="43"/>
        <v>493821.67</v>
      </c>
      <c r="Q161" s="159">
        <f t="shared" si="44"/>
        <v>208.1343625796064</v>
      </c>
      <c r="R161" s="161">
        <v>14593.7</v>
      </c>
      <c r="S161" s="4" t="s">
        <v>279</v>
      </c>
      <c r="T161" s="152" t="s">
        <v>231</v>
      </c>
      <c r="U161" s="139"/>
      <c r="V161" s="139">
        <f>L162-'виды работ '!C158</f>
        <v>0</v>
      </c>
    </row>
    <row r="162" spans="1:22" s="138" customFormat="1" ht="21" customHeight="1" x14ac:dyDescent="0.2">
      <c r="A162" s="160">
        <f>A161+1</f>
        <v>96</v>
      </c>
      <c r="B162" s="155" t="s">
        <v>552</v>
      </c>
      <c r="C162" s="152">
        <v>1913</v>
      </c>
      <c r="D162" s="152"/>
      <c r="E162" s="152" t="s">
        <v>219</v>
      </c>
      <c r="F162" s="152">
        <v>3</v>
      </c>
      <c r="G162" s="152">
        <v>3</v>
      </c>
      <c r="H162" s="159">
        <v>2929.8</v>
      </c>
      <c r="I162" s="159">
        <v>2058.3000000000002</v>
      </c>
      <c r="J162" s="159">
        <v>1533.2</v>
      </c>
      <c r="K162" s="160">
        <v>114</v>
      </c>
      <c r="L162" s="159">
        <f>'виды работ '!C158</f>
        <v>3272050.32</v>
      </c>
      <c r="M162" s="159">
        <v>0</v>
      </c>
      <c r="N162" s="159">
        <v>0</v>
      </c>
      <c r="O162" s="159">
        <v>0</v>
      </c>
      <c r="P162" s="159">
        <f t="shared" si="43"/>
        <v>3272050.32</v>
      </c>
      <c r="Q162" s="159">
        <f t="shared" si="44"/>
        <v>1116.8169567888592</v>
      </c>
      <c r="R162" s="161">
        <v>14593.7</v>
      </c>
      <c r="S162" s="4" t="s">
        <v>279</v>
      </c>
      <c r="T162" s="152" t="s">
        <v>231</v>
      </c>
      <c r="U162" s="139"/>
      <c r="V162" s="139">
        <f>L163-'виды работ '!C159</f>
        <v>0</v>
      </c>
    </row>
    <row r="163" spans="1:22" s="138" customFormat="1" ht="15.75" customHeight="1" x14ac:dyDescent="0.2">
      <c r="A163" s="160">
        <f>A162+1</f>
        <v>97</v>
      </c>
      <c r="B163" s="5" t="s">
        <v>310</v>
      </c>
      <c r="C163" s="152">
        <v>1968</v>
      </c>
      <c r="D163" s="152"/>
      <c r="E163" s="152" t="s">
        <v>219</v>
      </c>
      <c r="F163" s="152">
        <v>5</v>
      </c>
      <c r="G163" s="152">
        <v>6</v>
      </c>
      <c r="H163" s="159">
        <v>5001.05</v>
      </c>
      <c r="I163" s="159">
        <v>4642.7</v>
      </c>
      <c r="J163" s="159">
        <v>3775.25</v>
      </c>
      <c r="K163" s="152">
        <v>197</v>
      </c>
      <c r="L163" s="159">
        <f>'виды работ '!C159</f>
        <v>743484.56</v>
      </c>
      <c r="M163" s="159">
        <v>0</v>
      </c>
      <c r="N163" s="159">
        <v>0</v>
      </c>
      <c r="O163" s="159">
        <v>0</v>
      </c>
      <c r="P163" s="159">
        <f t="shared" si="43"/>
        <v>743484.56</v>
      </c>
      <c r="Q163" s="159">
        <f t="shared" si="44"/>
        <v>148.66569220463703</v>
      </c>
      <c r="R163" s="161">
        <v>14593.7</v>
      </c>
      <c r="S163" s="4" t="s">
        <v>279</v>
      </c>
      <c r="T163" s="152" t="s">
        <v>231</v>
      </c>
      <c r="U163" s="139"/>
      <c r="V163" s="139">
        <f>L164-'виды работ '!C160</f>
        <v>0</v>
      </c>
    </row>
    <row r="164" spans="1:22" s="138" customFormat="1" ht="15.75" customHeight="1" x14ac:dyDescent="0.2">
      <c r="A164" s="160">
        <f>A163+1</f>
        <v>98</v>
      </c>
      <c r="B164" s="5" t="s">
        <v>311</v>
      </c>
      <c r="C164" s="152">
        <v>1939</v>
      </c>
      <c r="D164" s="152"/>
      <c r="E164" s="152" t="s">
        <v>219</v>
      </c>
      <c r="F164" s="152">
        <v>3</v>
      </c>
      <c r="G164" s="152">
        <v>3</v>
      </c>
      <c r="H164" s="159">
        <v>1943</v>
      </c>
      <c r="I164" s="159">
        <v>1319.6</v>
      </c>
      <c r="J164" s="159">
        <v>1149.78</v>
      </c>
      <c r="K164" s="152">
        <v>50</v>
      </c>
      <c r="L164" s="159">
        <f>'виды работ '!C160</f>
        <v>454645.45</v>
      </c>
      <c r="M164" s="159">
        <v>0</v>
      </c>
      <c r="N164" s="159">
        <v>0</v>
      </c>
      <c r="O164" s="159">
        <v>0</v>
      </c>
      <c r="P164" s="159">
        <f t="shared" si="43"/>
        <v>454645.45</v>
      </c>
      <c r="Q164" s="159">
        <f t="shared" si="44"/>
        <v>233.99148224395265</v>
      </c>
      <c r="R164" s="161">
        <v>14593.7</v>
      </c>
      <c r="S164" s="4" t="s">
        <v>279</v>
      </c>
      <c r="T164" s="152" t="s">
        <v>231</v>
      </c>
      <c r="U164" s="139"/>
      <c r="V164" s="139">
        <f>L165-'виды работ '!C161</f>
        <v>0</v>
      </c>
    </row>
    <row r="165" spans="1:22" s="138" customFormat="1" ht="21" customHeight="1" x14ac:dyDescent="0.2">
      <c r="A165" s="160">
        <f>A164+1</f>
        <v>99</v>
      </c>
      <c r="B165" s="155" t="s">
        <v>553</v>
      </c>
      <c r="C165" s="152">
        <v>1951</v>
      </c>
      <c r="D165" s="152"/>
      <c r="E165" s="152" t="s">
        <v>219</v>
      </c>
      <c r="F165" s="152">
        <v>2</v>
      </c>
      <c r="G165" s="152">
        <v>2</v>
      </c>
      <c r="H165" s="159">
        <v>741.85</v>
      </c>
      <c r="I165" s="159">
        <v>667.55</v>
      </c>
      <c r="J165" s="159">
        <v>541.05999999999995</v>
      </c>
      <c r="K165" s="160">
        <v>28</v>
      </c>
      <c r="L165" s="159">
        <f>'виды работ '!C161</f>
        <v>1298451.94</v>
      </c>
      <c r="M165" s="159">
        <v>0</v>
      </c>
      <c r="N165" s="159">
        <v>0</v>
      </c>
      <c r="O165" s="159">
        <v>0</v>
      </c>
      <c r="P165" s="159">
        <f t="shared" si="43"/>
        <v>1298451.94</v>
      </c>
      <c r="Q165" s="159">
        <f t="shared" si="44"/>
        <v>1750.2890611309563</v>
      </c>
      <c r="R165" s="161">
        <v>14593.7</v>
      </c>
      <c r="S165" s="4" t="s">
        <v>279</v>
      </c>
      <c r="T165" s="152" t="s">
        <v>231</v>
      </c>
      <c r="U165" s="139"/>
      <c r="V165" s="139">
        <f>L166-'виды работ '!C162</f>
        <v>0</v>
      </c>
    </row>
    <row r="166" spans="1:22" s="138" customFormat="1" ht="21" customHeight="1" x14ac:dyDescent="0.2">
      <c r="A166" s="171" t="s">
        <v>18</v>
      </c>
      <c r="B166" s="171"/>
      <c r="C166" s="159" t="s">
        <v>222</v>
      </c>
      <c r="D166" s="159" t="s">
        <v>222</v>
      </c>
      <c r="E166" s="159" t="s">
        <v>222</v>
      </c>
      <c r="F166" s="159" t="s">
        <v>222</v>
      </c>
      <c r="G166" s="159" t="s">
        <v>222</v>
      </c>
      <c r="H166" s="28">
        <f t="shared" ref="H166:P166" si="45">SUM(H160:H165)</f>
        <v>18028.91</v>
      </c>
      <c r="I166" s="28">
        <f t="shared" si="45"/>
        <v>15419.56</v>
      </c>
      <c r="J166" s="28">
        <f t="shared" si="45"/>
        <v>12023.060000000001</v>
      </c>
      <c r="K166" s="29">
        <f t="shared" si="45"/>
        <v>708</v>
      </c>
      <c r="L166" s="28">
        <f t="shared" si="45"/>
        <v>6980936.7000000011</v>
      </c>
      <c r="M166" s="28">
        <f t="shared" si="45"/>
        <v>0</v>
      </c>
      <c r="N166" s="28">
        <f t="shared" si="45"/>
        <v>0</v>
      </c>
      <c r="O166" s="28">
        <f t="shared" si="45"/>
        <v>0</v>
      </c>
      <c r="P166" s="28">
        <f t="shared" si="45"/>
        <v>6980936.7000000011</v>
      </c>
      <c r="Q166" s="159">
        <f t="shared" si="44"/>
        <v>387.20791772769411</v>
      </c>
      <c r="R166" s="11" t="s">
        <v>222</v>
      </c>
      <c r="S166" s="30" t="s">
        <v>222</v>
      </c>
      <c r="T166" s="152" t="s">
        <v>222</v>
      </c>
      <c r="U166" s="139"/>
      <c r="V166" s="139">
        <f>L167-'виды работ '!C163</f>
        <v>0</v>
      </c>
    </row>
    <row r="167" spans="1:22" s="138" customFormat="1" ht="21" customHeight="1" x14ac:dyDescent="0.2">
      <c r="A167" s="169" t="s">
        <v>138</v>
      </c>
      <c r="B167" s="169"/>
      <c r="C167" s="169"/>
      <c r="D167" s="169"/>
      <c r="E167" s="169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39"/>
      <c r="V167" s="139">
        <f>L168-'виды работ '!C164</f>
        <v>0</v>
      </c>
    </row>
    <row r="168" spans="1:22" s="138" customFormat="1" ht="21" customHeight="1" x14ac:dyDescent="0.2">
      <c r="A168" s="160">
        <f>A165+1</f>
        <v>100</v>
      </c>
      <c r="B168" s="5" t="s">
        <v>312</v>
      </c>
      <c r="C168" s="152">
        <v>1986</v>
      </c>
      <c r="D168" s="152"/>
      <c r="E168" s="152" t="s">
        <v>223</v>
      </c>
      <c r="F168" s="152">
        <v>9</v>
      </c>
      <c r="G168" s="152">
        <v>5</v>
      </c>
      <c r="H168" s="152">
        <v>11063.9</v>
      </c>
      <c r="I168" s="152">
        <v>9911.5300000000007</v>
      </c>
      <c r="J168" s="152">
        <v>8612.1</v>
      </c>
      <c r="K168" s="152">
        <v>564</v>
      </c>
      <c r="L168" s="159">
        <f>'виды работ '!C164</f>
        <v>9699899.9900000002</v>
      </c>
      <c r="M168" s="159">
        <v>0</v>
      </c>
      <c r="N168" s="159">
        <v>0</v>
      </c>
      <c r="O168" s="159">
        <v>0</v>
      </c>
      <c r="P168" s="159">
        <f>L168</f>
        <v>9699899.9900000002</v>
      </c>
      <c r="Q168" s="159">
        <f>L168/H168</f>
        <v>876.71616608971522</v>
      </c>
      <c r="R168" s="161">
        <v>14593.7</v>
      </c>
      <c r="S168" s="4" t="s">
        <v>279</v>
      </c>
      <c r="T168" s="152" t="s">
        <v>231</v>
      </c>
      <c r="U168" s="139"/>
      <c r="V168" s="139">
        <f>L169-'виды работ '!C165</f>
        <v>0</v>
      </c>
    </row>
    <row r="169" spans="1:22" s="138" customFormat="1" ht="21" customHeight="1" x14ac:dyDescent="0.2">
      <c r="A169" s="171" t="s">
        <v>18</v>
      </c>
      <c r="B169" s="171"/>
      <c r="C169" s="159" t="s">
        <v>222</v>
      </c>
      <c r="D169" s="159" t="s">
        <v>222</v>
      </c>
      <c r="E169" s="159" t="s">
        <v>222</v>
      </c>
      <c r="F169" s="159" t="s">
        <v>222</v>
      </c>
      <c r="G169" s="159" t="s">
        <v>222</v>
      </c>
      <c r="H169" s="28">
        <f t="shared" ref="H169:P169" si="46">SUM(H168:H168)</f>
        <v>11063.9</v>
      </c>
      <c r="I169" s="28">
        <f t="shared" si="46"/>
        <v>9911.5300000000007</v>
      </c>
      <c r="J169" s="28">
        <f t="shared" si="46"/>
        <v>8612.1</v>
      </c>
      <c r="K169" s="29">
        <f t="shared" si="46"/>
        <v>564</v>
      </c>
      <c r="L169" s="28">
        <f t="shared" si="46"/>
        <v>9699899.9900000002</v>
      </c>
      <c r="M169" s="28">
        <f t="shared" si="46"/>
        <v>0</v>
      </c>
      <c r="N169" s="28">
        <f t="shared" si="46"/>
        <v>0</v>
      </c>
      <c r="O169" s="28">
        <f t="shared" si="46"/>
        <v>0</v>
      </c>
      <c r="P169" s="28">
        <f t="shared" si="46"/>
        <v>9699899.9900000002</v>
      </c>
      <c r="Q169" s="159">
        <f>L169/H169</f>
        <v>876.71616608971522</v>
      </c>
      <c r="R169" s="11" t="s">
        <v>222</v>
      </c>
      <c r="S169" s="30" t="s">
        <v>222</v>
      </c>
      <c r="T169" s="152" t="s">
        <v>222</v>
      </c>
      <c r="U169" s="139"/>
      <c r="V169" s="139">
        <f>L170-'виды работ '!C166</f>
        <v>0</v>
      </c>
    </row>
    <row r="170" spans="1:22" s="138" customFormat="1" ht="21" customHeight="1" x14ac:dyDescent="0.2">
      <c r="A170" s="168" t="s">
        <v>139</v>
      </c>
      <c r="B170" s="168"/>
      <c r="C170" s="168"/>
      <c r="D170" s="168"/>
      <c r="E170" s="168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39"/>
      <c r="V170" s="139">
        <f>L171-'виды работ '!C167</f>
        <v>0</v>
      </c>
    </row>
    <row r="171" spans="1:22" s="138" customFormat="1" ht="15" customHeight="1" x14ac:dyDescent="0.2">
      <c r="A171" s="160">
        <f>A168+1</f>
        <v>101</v>
      </c>
      <c r="B171" s="5" t="s">
        <v>313</v>
      </c>
      <c r="C171" s="153">
        <v>1938</v>
      </c>
      <c r="D171" s="152"/>
      <c r="E171" s="152" t="s">
        <v>219</v>
      </c>
      <c r="F171" s="153">
        <v>4</v>
      </c>
      <c r="G171" s="153">
        <v>3</v>
      </c>
      <c r="H171" s="15">
        <v>2357.1</v>
      </c>
      <c r="I171" s="15">
        <v>2077.5</v>
      </c>
      <c r="J171" s="15">
        <v>1812.5</v>
      </c>
      <c r="K171" s="153">
        <v>108</v>
      </c>
      <c r="L171" s="159">
        <f>'виды работ '!C167</f>
        <v>763729.64999999991</v>
      </c>
      <c r="M171" s="159">
        <v>0</v>
      </c>
      <c r="N171" s="159">
        <v>0</v>
      </c>
      <c r="O171" s="159">
        <v>0</v>
      </c>
      <c r="P171" s="159">
        <f t="shared" ref="P171:P177" si="47">L171</f>
        <v>763729.64999999991</v>
      </c>
      <c r="Q171" s="159">
        <f t="shared" ref="Q171:Q176" si="48">L171/H171</f>
        <v>324.01240931653302</v>
      </c>
      <c r="R171" s="161">
        <v>14593.7</v>
      </c>
      <c r="S171" s="4" t="s">
        <v>279</v>
      </c>
      <c r="T171" s="152" t="s">
        <v>231</v>
      </c>
      <c r="U171" s="139"/>
      <c r="V171" s="139">
        <f>L172-'виды работ '!C168</f>
        <v>0</v>
      </c>
    </row>
    <row r="172" spans="1:22" s="138" customFormat="1" ht="15" customHeight="1" x14ac:dyDescent="0.2">
      <c r="A172" s="160">
        <f t="shared" ref="A172:A177" si="49">A171+1</f>
        <v>102</v>
      </c>
      <c r="B172" s="5" t="s">
        <v>314</v>
      </c>
      <c r="C172" s="153">
        <v>1936</v>
      </c>
      <c r="D172" s="153"/>
      <c r="E172" s="152" t="s">
        <v>219</v>
      </c>
      <c r="F172" s="153">
        <v>4</v>
      </c>
      <c r="G172" s="153">
        <v>3</v>
      </c>
      <c r="H172" s="15">
        <v>2452.6</v>
      </c>
      <c r="I172" s="15">
        <v>2094.6</v>
      </c>
      <c r="J172" s="15">
        <v>1697.6</v>
      </c>
      <c r="K172" s="153">
        <v>102</v>
      </c>
      <c r="L172" s="159">
        <f>'виды работ '!C168</f>
        <v>772929.21</v>
      </c>
      <c r="M172" s="159">
        <v>0</v>
      </c>
      <c r="N172" s="159">
        <v>0</v>
      </c>
      <c r="O172" s="159">
        <v>0</v>
      </c>
      <c r="P172" s="159">
        <f t="shared" si="47"/>
        <v>772929.21</v>
      </c>
      <c r="Q172" s="159">
        <f t="shared" si="48"/>
        <v>315.14686862920979</v>
      </c>
      <c r="R172" s="161">
        <v>14593.7</v>
      </c>
      <c r="S172" s="4" t="s">
        <v>279</v>
      </c>
      <c r="T172" s="152" t="s">
        <v>231</v>
      </c>
      <c r="U172" s="139"/>
      <c r="V172" s="139">
        <f>L173-'виды работ '!C169</f>
        <v>0</v>
      </c>
    </row>
    <row r="173" spans="1:22" s="138" customFormat="1" ht="15" customHeight="1" x14ac:dyDescent="0.2">
      <c r="A173" s="160">
        <f t="shared" si="49"/>
        <v>103</v>
      </c>
      <c r="B173" s="5" t="s">
        <v>315</v>
      </c>
      <c r="C173" s="153">
        <v>1960</v>
      </c>
      <c r="D173" s="153"/>
      <c r="E173" s="152" t="s">
        <v>219</v>
      </c>
      <c r="F173" s="153">
        <v>2</v>
      </c>
      <c r="G173" s="153">
        <v>2</v>
      </c>
      <c r="H173" s="15">
        <v>694.8</v>
      </c>
      <c r="I173" s="15">
        <v>643.29999999999995</v>
      </c>
      <c r="J173" s="15">
        <v>569.20000000000005</v>
      </c>
      <c r="K173" s="153">
        <v>35</v>
      </c>
      <c r="L173" s="159">
        <f>'виды работ '!C169</f>
        <v>4567583.8699999992</v>
      </c>
      <c r="M173" s="159">
        <v>0</v>
      </c>
      <c r="N173" s="159">
        <v>0</v>
      </c>
      <c r="O173" s="159">
        <v>0</v>
      </c>
      <c r="P173" s="159">
        <f t="shared" si="47"/>
        <v>4567583.8699999992</v>
      </c>
      <c r="Q173" s="159">
        <f t="shared" si="48"/>
        <v>6573.9549078871614</v>
      </c>
      <c r="R173" s="161">
        <v>14593.7</v>
      </c>
      <c r="S173" s="4" t="s">
        <v>279</v>
      </c>
      <c r="T173" s="152" t="s">
        <v>231</v>
      </c>
      <c r="U173" s="139"/>
      <c r="V173" s="139">
        <f>L174-'виды работ '!C170</f>
        <v>0</v>
      </c>
    </row>
    <row r="174" spans="1:22" s="138" customFormat="1" ht="15" customHeight="1" x14ac:dyDescent="0.2">
      <c r="A174" s="160">
        <f t="shared" si="49"/>
        <v>104</v>
      </c>
      <c r="B174" s="5" t="s">
        <v>316</v>
      </c>
      <c r="C174" s="153">
        <v>1960</v>
      </c>
      <c r="D174" s="153"/>
      <c r="E174" s="152" t="s">
        <v>219</v>
      </c>
      <c r="F174" s="153">
        <v>2</v>
      </c>
      <c r="G174" s="153">
        <v>2</v>
      </c>
      <c r="H174" s="15">
        <v>698.9</v>
      </c>
      <c r="I174" s="15">
        <v>647.4</v>
      </c>
      <c r="J174" s="15">
        <v>569.20000000000005</v>
      </c>
      <c r="K174" s="153">
        <v>35</v>
      </c>
      <c r="L174" s="159">
        <f>'виды работ '!C170</f>
        <v>4569736.9800000004</v>
      </c>
      <c r="M174" s="159">
        <v>0</v>
      </c>
      <c r="N174" s="159">
        <v>0</v>
      </c>
      <c r="O174" s="159">
        <v>0</v>
      </c>
      <c r="P174" s="159">
        <f t="shared" si="47"/>
        <v>4569736.9800000004</v>
      </c>
      <c r="Q174" s="159">
        <f t="shared" si="48"/>
        <v>6538.4704249534989</v>
      </c>
      <c r="R174" s="161">
        <v>14593.7</v>
      </c>
      <c r="S174" s="4" t="s">
        <v>279</v>
      </c>
      <c r="T174" s="152" t="s">
        <v>231</v>
      </c>
      <c r="U174" s="139"/>
      <c r="V174" s="139">
        <f>L175-'виды работ '!C171</f>
        <v>0</v>
      </c>
    </row>
    <row r="175" spans="1:22" s="138" customFormat="1" ht="21" customHeight="1" x14ac:dyDescent="0.2">
      <c r="A175" s="160">
        <f t="shared" si="49"/>
        <v>105</v>
      </c>
      <c r="B175" s="155" t="s">
        <v>554</v>
      </c>
      <c r="C175" s="152">
        <v>1966</v>
      </c>
      <c r="D175" s="30"/>
      <c r="E175" s="152" t="s">
        <v>223</v>
      </c>
      <c r="F175" s="152">
        <v>5</v>
      </c>
      <c r="G175" s="152">
        <v>4</v>
      </c>
      <c r="H175" s="159">
        <v>3854.4</v>
      </c>
      <c r="I175" s="159">
        <v>3544.6</v>
      </c>
      <c r="J175" s="159">
        <v>3311.4</v>
      </c>
      <c r="K175" s="160">
        <v>191</v>
      </c>
      <c r="L175" s="159">
        <f>'виды работ '!C171</f>
        <v>2075160.69</v>
      </c>
      <c r="M175" s="159">
        <v>0</v>
      </c>
      <c r="N175" s="159">
        <v>0</v>
      </c>
      <c r="O175" s="159">
        <v>0</v>
      </c>
      <c r="P175" s="159">
        <f t="shared" si="47"/>
        <v>2075160.69</v>
      </c>
      <c r="Q175" s="159">
        <f t="shared" si="48"/>
        <v>538.38747665006224</v>
      </c>
      <c r="R175" s="161">
        <v>14593.7</v>
      </c>
      <c r="S175" s="4" t="s">
        <v>279</v>
      </c>
      <c r="T175" s="152" t="s">
        <v>231</v>
      </c>
      <c r="U175" s="139"/>
      <c r="V175" s="139">
        <f>L176-'виды работ '!C172</f>
        <v>0</v>
      </c>
    </row>
    <row r="176" spans="1:22" s="138" customFormat="1" ht="15" customHeight="1" x14ac:dyDescent="0.2">
      <c r="A176" s="160">
        <f t="shared" si="49"/>
        <v>106</v>
      </c>
      <c r="B176" s="5" t="s">
        <v>317</v>
      </c>
      <c r="C176" s="153">
        <v>1936</v>
      </c>
      <c r="D176" s="153"/>
      <c r="E176" s="152" t="s">
        <v>219</v>
      </c>
      <c r="F176" s="153">
        <v>4</v>
      </c>
      <c r="G176" s="153">
        <v>3</v>
      </c>
      <c r="H176" s="15">
        <v>2510.6</v>
      </c>
      <c r="I176" s="15">
        <v>1951.9</v>
      </c>
      <c r="J176" s="15">
        <v>1362.3</v>
      </c>
      <c r="K176" s="153">
        <v>109</v>
      </c>
      <c r="L176" s="159">
        <f>'виды работ '!C172</f>
        <v>475983.54</v>
      </c>
      <c r="M176" s="159">
        <v>0</v>
      </c>
      <c r="N176" s="159">
        <v>0</v>
      </c>
      <c r="O176" s="159">
        <v>0</v>
      </c>
      <c r="P176" s="159">
        <f t="shared" si="47"/>
        <v>475983.54</v>
      </c>
      <c r="Q176" s="159">
        <f t="shared" si="48"/>
        <v>189.58955628136701</v>
      </c>
      <c r="R176" s="161">
        <v>14593.7</v>
      </c>
      <c r="S176" s="4" t="s">
        <v>279</v>
      </c>
      <c r="T176" s="152" t="s">
        <v>231</v>
      </c>
      <c r="U176" s="139"/>
      <c r="V176" s="139">
        <f>L177-'виды работ '!C173</f>
        <v>0</v>
      </c>
    </row>
    <row r="177" spans="1:24" s="138" customFormat="1" ht="15" customHeight="1" x14ac:dyDescent="0.2">
      <c r="A177" s="160">
        <f t="shared" si="49"/>
        <v>107</v>
      </c>
      <c r="B177" s="5" t="s">
        <v>318</v>
      </c>
      <c r="C177" s="153">
        <v>1978</v>
      </c>
      <c r="D177" s="153"/>
      <c r="E177" s="152" t="s">
        <v>223</v>
      </c>
      <c r="F177" s="153">
        <v>5</v>
      </c>
      <c r="G177" s="153">
        <v>5</v>
      </c>
      <c r="H177" s="15">
        <v>4120.2</v>
      </c>
      <c r="I177" s="15">
        <v>3440.8</v>
      </c>
      <c r="J177" s="15">
        <v>3154.6</v>
      </c>
      <c r="K177" s="153">
        <v>190</v>
      </c>
      <c r="L177" s="159">
        <f>'виды работ '!C173</f>
        <v>302407.39</v>
      </c>
      <c r="M177" s="159">
        <v>0</v>
      </c>
      <c r="N177" s="159">
        <v>0</v>
      </c>
      <c r="O177" s="159">
        <v>0</v>
      </c>
      <c r="P177" s="159">
        <f t="shared" si="47"/>
        <v>302407.39</v>
      </c>
      <c r="Q177" s="159">
        <f t="shared" ref="Q177:Q187" si="50">L177/H177</f>
        <v>73.396289015096357</v>
      </c>
      <c r="R177" s="161">
        <v>14593.7</v>
      </c>
      <c r="S177" s="4" t="s">
        <v>279</v>
      </c>
      <c r="T177" s="152" t="s">
        <v>231</v>
      </c>
      <c r="U177" s="139"/>
      <c r="V177" s="139">
        <f>L178-'виды работ '!C174</f>
        <v>0</v>
      </c>
    </row>
    <row r="178" spans="1:24" s="138" customFormat="1" ht="21" customHeight="1" x14ac:dyDescent="0.2">
      <c r="A178" s="171" t="s">
        <v>18</v>
      </c>
      <c r="B178" s="171"/>
      <c r="C178" s="159" t="s">
        <v>222</v>
      </c>
      <c r="D178" s="159" t="s">
        <v>222</v>
      </c>
      <c r="E178" s="159" t="s">
        <v>222</v>
      </c>
      <c r="F178" s="159" t="s">
        <v>222</v>
      </c>
      <c r="G178" s="159" t="s">
        <v>222</v>
      </c>
      <c r="H178" s="28">
        <f>SUM(H171:H177)</f>
        <v>16688.599999999999</v>
      </c>
      <c r="I178" s="28">
        <f t="shared" ref="I178:P178" si="51">SUM(I171:I177)</f>
        <v>14400.099999999999</v>
      </c>
      <c r="J178" s="28">
        <f t="shared" si="51"/>
        <v>12476.8</v>
      </c>
      <c r="K178" s="29">
        <f t="shared" si="51"/>
        <v>770</v>
      </c>
      <c r="L178" s="28">
        <f t="shared" si="51"/>
        <v>13527531.329999998</v>
      </c>
      <c r="M178" s="28">
        <f t="shared" si="51"/>
        <v>0</v>
      </c>
      <c r="N178" s="28">
        <f t="shared" si="51"/>
        <v>0</v>
      </c>
      <c r="O178" s="28">
        <f t="shared" si="51"/>
        <v>0</v>
      </c>
      <c r="P178" s="28">
        <f t="shared" si="51"/>
        <v>13527531.329999998</v>
      </c>
      <c r="Q178" s="159">
        <f t="shared" si="50"/>
        <v>810.58514974293826</v>
      </c>
      <c r="R178" s="11" t="s">
        <v>222</v>
      </c>
      <c r="S178" s="30" t="s">
        <v>222</v>
      </c>
      <c r="T178" s="152" t="s">
        <v>222</v>
      </c>
      <c r="U178" s="139"/>
      <c r="V178" s="139">
        <f>L179-'виды работ '!C175</f>
        <v>0</v>
      </c>
    </row>
    <row r="179" spans="1:24" s="138" customFormat="1" ht="19.5" customHeight="1" x14ac:dyDescent="0.2">
      <c r="A179" s="168" t="s">
        <v>140</v>
      </c>
      <c r="B179" s="168"/>
      <c r="C179" s="168"/>
      <c r="D179" s="168"/>
      <c r="E179" s="168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39"/>
      <c r="V179" s="139">
        <f>L180-'виды работ '!C176</f>
        <v>0</v>
      </c>
    </row>
    <row r="180" spans="1:24" s="138" customFormat="1" ht="16.5" customHeight="1" x14ac:dyDescent="0.2">
      <c r="A180" s="160">
        <f>A177+1</f>
        <v>108</v>
      </c>
      <c r="B180" s="36" t="s">
        <v>319</v>
      </c>
      <c r="C180" s="152">
        <v>1957</v>
      </c>
      <c r="D180" s="152"/>
      <c r="E180" s="152" t="s">
        <v>219</v>
      </c>
      <c r="F180" s="152">
        <v>2</v>
      </c>
      <c r="G180" s="152">
        <v>1</v>
      </c>
      <c r="H180" s="159">
        <v>317.5</v>
      </c>
      <c r="I180" s="159">
        <v>317</v>
      </c>
      <c r="J180" s="159">
        <v>201.3</v>
      </c>
      <c r="K180" s="152">
        <v>21</v>
      </c>
      <c r="L180" s="159">
        <f>'виды работ '!C176</f>
        <v>299505</v>
      </c>
      <c r="M180" s="159">
        <v>0</v>
      </c>
      <c r="N180" s="159">
        <v>0</v>
      </c>
      <c r="O180" s="159">
        <v>0</v>
      </c>
      <c r="P180" s="159">
        <f t="shared" ref="P180:P186" si="52">L180</f>
        <v>299505</v>
      </c>
      <c r="Q180" s="159">
        <f>L180/H180</f>
        <v>943.32283464566933</v>
      </c>
      <c r="R180" s="161">
        <v>14593.7</v>
      </c>
      <c r="S180" s="4" t="s">
        <v>279</v>
      </c>
      <c r="T180" s="152" t="s">
        <v>231</v>
      </c>
      <c r="U180" s="139"/>
      <c r="V180" s="139">
        <f>L181-'виды работ '!C177</f>
        <v>0</v>
      </c>
    </row>
    <row r="181" spans="1:24" s="138" customFormat="1" ht="16.5" customHeight="1" x14ac:dyDescent="0.2">
      <c r="A181" s="160">
        <f t="shared" ref="A181:A186" si="53">A180+1</f>
        <v>109</v>
      </c>
      <c r="B181" s="36" t="s">
        <v>320</v>
      </c>
      <c r="C181" s="152">
        <v>1966</v>
      </c>
      <c r="D181" s="152"/>
      <c r="E181" s="152" t="s">
        <v>219</v>
      </c>
      <c r="F181" s="152">
        <v>5</v>
      </c>
      <c r="G181" s="152">
        <v>4</v>
      </c>
      <c r="H181" s="159">
        <v>3759.7</v>
      </c>
      <c r="I181" s="7">
        <v>3426.42</v>
      </c>
      <c r="J181" s="159">
        <v>3426.4</v>
      </c>
      <c r="K181" s="152">
        <v>165</v>
      </c>
      <c r="L181" s="159">
        <f>'виды работ '!C177</f>
        <v>318478.03999999998</v>
      </c>
      <c r="M181" s="159">
        <v>0</v>
      </c>
      <c r="N181" s="159">
        <v>0</v>
      </c>
      <c r="O181" s="159">
        <v>0</v>
      </c>
      <c r="P181" s="159">
        <f t="shared" si="52"/>
        <v>318478.03999999998</v>
      </c>
      <c r="Q181" s="159">
        <f>L181/H181</f>
        <v>84.708365029124664</v>
      </c>
      <c r="R181" s="161">
        <v>14593.7</v>
      </c>
      <c r="S181" s="4" t="s">
        <v>279</v>
      </c>
      <c r="T181" s="152" t="s">
        <v>231</v>
      </c>
      <c r="U181" s="139"/>
      <c r="V181" s="139">
        <f>L182-'виды работ '!C178</f>
        <v>0</v>
      </c>
    </row>
    <row r="182" spans="1:24" s="138" customFormat="1" ht="16.5" customHeight="1" x14ac:dyDescent="0.2">
      <c r="A182" s="160">
        <f t="shared" si="53"/>
        <v>110</v>
      </c>
      <c r="B182" s="36" t="s">
        <v>321</v>
      </c>
      <c r="C182" s="152">
        <v>1972</v>
      </c>
      <c r="D182" s="152"/>
      <c r="E182" s="152" t="s">
        <v>219</v>
      </c>
      <c r="F182" s="152">
        <v>2</v>
      </c>
      <c r="G182" s="152">
        <v>2</v>
      </c>
      <c r="H182" s="159">
        <v>583.70000000000005</v>
      </c>
      <c r="I182" s="159">
        <v>532.9</v>
      </c>
      <c r="J182" s="159">
        <v>532.9</v>
      </c>
      <c r="K182" s="152">
        <v>23</v>
      </c>
      <c r="L182" s="159">
        <f>'виды работ '!C178</f>
        <v>1751361.83</v>
      </c>
      <c r="M182" s="159">
        <v>0</v>
      </c>
      <c r="N182" s="159">
        <v>0</v>
      </c>
      <c r="O182" s="159">
        <v>0</v>
      </c>
      <c r="P182" s="159">
        <f t="shared" si="52"/>
        <v>1751361.83</v>
      </c>
      <c r="Q182" s="159">
        <f>L182/H182</f>
        <v>3000.4485694706182</v>
      </c>
      <c r="R182" s="161">
        <v>14593.7</v>
      </c>
      <c r="S182" s="4" t="s">
        <v>279</v>
      </c>
      <c r="T182" s="152" t="s">
        <v>231</v>
      </c>
      <c r="U182" s="139"/>
      <c r="V182" s="139">
        <f>L183-'виды работ '!C179</f>
        <v>0</v>
      </c>
    </row>
    <row r="183" spans="1:24" s="138" customFormat="1" ht="16.5" customHeight="1" x14ac:dyDescent="0.2">
      <c r="A183" s="160">
        <f t="shared" si="53"/>
        <v>111</v>
      </c>
      <c r="B183" s="36" t="s">
        <v>322</v>
      </c>
      <c r="C183" s="152">
        <v>1964</v>
      </c>
      <c r="D183" s="152"/>
      <c r="E183" s="152" t="s">
        <v>219</v>
      </c>
      <c r="F183" s="152">
        <v>2</v>
      </c>
      <c r="G183" s="152">
        <v>2</v>
      </c>
      <c r="H183" s="7">
        <v>662.7</v>
      </c>
      <c r="I183" s="159">
        <v>662</v>
      </c>
      <c r="J183" s="159">
        <v>459.2</v>
      </c>
      <c r="K183" s="152">
        <v>28</v>
      </c>
      <c r="L183" s="159">
        <f>'виды работ '!C179</f>
        <v>401824</v>
      </c>
      <c r="M183" s="159">
        <v>0</v>
      </c>
      <c r="N183" s="159">
        <v>0</v>
      </c>
      <c r="O183" s="159">
        <v>0</v>
      </c>
      <c r="P183" s="159">
        <f t="shared" si="52"/>
        <v>401824</v>
      </c>
      <c r="Q183" s="159">
        <f>L183/H183</f>
        <v>606.34374528444243</v>
      </c>
      <c r="R183" s="161">
        <v>14593.7</v>
      </c>
      <c r="S183" s="4" t="s">
        <v>279</v>
      </c>
      <c r="T183" s="152" t="s">
        <v>231</v>
      </c>
      <c r="U183" s="139"/>
      <c r="V183" s="139">
        <f>L184-'виды работ '!C180</f>
        <v>0</v>
      </c>
    </row>
    <row r="184" spans="1:24" s="138" customFormat="1" ht="16.5" customHeight="1" x14ac:dyDescent="0.2">
      <c r="A184" s="160">
        <f t="shared" si="53"/>
        <v>112</v>
      </c>
      <c r="B184" s="36" t="s">
        <v>323</v>
      </c>
      <c r="C184" s="152">
        <v>1956</v>
      </c>
      <c r="D184" s="152"/>
      <c r="E184" s="152" t="s">
        <v>219</v>
      </c>
      <c r="F184" s="152">
        <v>2</v>
      </c>
      <c r="G184" s="152">
        <v>2</v>
      </c>
      <c r="H184" s="37">
        <v>880</v>
      </c>
      <c r="I184" s="159">
        <v>854.9</v>
      </c>
      <c r="J184" s="159">
        <v>820.2</v>
      </c>
      <c r="K184" s="152">
        <v>30</v>
      </c>
      <c r="L184" s="159">
        <f>'виды работ '!C180</f>
        <v>593384.24</v>
      </c>
      <c r="M184" s="159">
        <v>0</v>
      </c>
      <c r="N184" s="159">
        <v>0</v>
      </c>
      <c r="O184" s="159">
        <v>0</v>
      </c>
      <c r="P184" s="159">
        <f t="shared" si="52"/>
        <v>593384.24</v>
      </c>
      <c r="Q184" s="159">
        <f t="shared" si="50"/>
        <v>674.30027272727273</v>
      </c>
      <c r="R184" s="161">
        <v>14593.7</v>
      </c>
      <c r="S184" s="4" t="s">
        <v>279</v>
      </c>
      <c r="T184" s="152" t="s">
        <v>231</v>
      </c>
      <c r="U184" s="139"/>
      <c r="V184" s="139">
        <f>L185-'виды работ '!C181</f>
        <v>0</v>
      </c>
    </row>
    <row r="185" spans="1:24" s="138" customFormat="1" ht="16.5" customHeight="1" x14ac:dyDescent="0.2">
      <c r="A185" s="160">
        <f t="shared" si="53"/>
        <v>113</v>
      </c>
      <c r="B185" s="36" t="s">
        <v>324</v>
      </c>
      <c r="C185" s="152">
        <v>1964</v>
      </c>
      <c r="D185" s="152"/>
      <c r="E185" s="152" t="s">
        <v>219</v>
      </c>
      <c r="F185" s="152">
        <v>2</v>
      </c>
      <c r="G185" s="152">
        <v>2</v>
      </c>
      <c r="H185" s="7">
        <v>662.5</v>
      </c>
      <c r="I185" s="159">
        <v>662</v>
      </c>
      <c r="J185" s="159">
        <v>605.70000000000005</v>
      </c>
      <c r="K185" s="152">
        <v>38</v>
      </c>
      <c r="L185" s="159">
        <f>'виды работ '!C181</f>
        <v>419049</v>
      </c>
      <c r="M185" s="159">
        <v>0</v>
      </c>
      <c r="N185" s="159">
        <v>0</v>
      </c>
      <c r="O185" s="159">
        <v>0</v>
      </c>
      <c r="P185" s="159">
        <f t="shared" si="52"/>
        <v>419049</v>
      </c>
      <c r="Q185" s="159">
        <f t="shared" si="50"/>
        <v>632.52679245283014</v>
      </c>
      <c r="R185" s="161">
        <v>14593.7</v>
      </c>
      <c r="S185" s="4" t="s">
        <v>279</v>
      </c>
      <c r="T185" s="152" t="s">
        <v>231</v>
      </c>
      <c r="U185" s="139"/>
      <c r="V185" s="139">
        <f>L186-'виды работ '!C182</f>
        <v>0</v>
      </c>
    </row>
    <row r="186" spans="1:24" s="138" customFormat="1" ht="16.5" customHeight="1" x14ac:dyDescent="0.2">
      <c r="A186" s="160">
        <f t="shared" si="53"/>
        <v>114</v>
      </c>
      <c r="B186" s="36" t="s">
        <v>325</v>
      </c>
      <c r="C186" s="152">
        <v>1956</v>
      </c>
      <c r="D186" s="152"/>
      <c r="E186" s="152" t="s">
        <v>219</v>
      </c>
      <c r="F186" s="152">
        <v>2</v>
      </c>
      <c r="G186" s="152">
        <v>2</v>
      </c>
      <c r="H186" s="159">
        <v>887.3</v>
      </c>
      <c r="I186" s="9">
        <v>849.89</v>
      </c>
      <c r="J186" s="9">
        <v>849.89</v>
      </c>
      <c r="K186" s="152">
        <v>30</v>
      </c>
      <c r="L186" s="159">
        <f>'виды работ '!C182</f>
        <v>593838.54</v>
      </c>
      <c r="M186" s="159">
        <v>0</v>
      </c>
      <c r="N186" s="159">
        <v>0</v>
      </c>
      <c r="O186" s="159">
        <v>0</v>
      </c>
      <c r="P186" s="159">
        <f t="shared" si="52"/>
        <v>593838.54</v>
      </c>
      <c r="Q186" s="159">
        <f t="shared" si="50"/>
        <v>669.26466809421845</v>
      </c>
      <c r="R186" s="161">
        <v>14593.7</v>
      </c>
      <c r="S186" s="4" t="s">
        <v>279</v>
      </c>
      <c r="T186" s="152" t="s">
        <v>231</v>
      </c>
      <c r="U186" s="139"/>
      <c r="V186" s="139">
        <f>L187-'виды работ '!C183</f>
        <v>0</v>
      </c>
    </row>
    <row r="187" spans="1:24" s="138" customFormat="1" ht="20.25" customHeight="1" x14ac:dyDescent="0.2">
      <c r="A187" s="171" t="s">
        <v>18</v>
      </c>
      <c r="B187" s="171"/>
      <c r="C187" s="159" t="s">
        <v>222</v>
      </c>
      <c r="D187" s="159" t="s">
        <v>222</v>
      </c>
      <c r="E187" s="159" t="s">
        <v>222</v>
      </c>
      <c r="F187" s="159" t="s">
        <v>222</v>
      </c>
      <c r="G187" s="159" t="s">
        <v>222</v>
      </c>
      <c r="H187" s="159">
        <f>SUM(H180:H186)</f>
        <v>7753.4</v>
      </c>
      <c r="I187" s="159">
        <f t="shared" ref="I187:P187" si="54">SUM(I180:I186)</f>
        <v>7305.11</v>
      </c>
      <c r="J187" s="159">
        <f t="shared" si="54"/>
        <v>6895.59</v>
      </c>
      <c r="K187" s="160">
        <f t="shared" si="54"/>
        <v>335</v>
      </c>
      <c r="L187" s="159">
        <f>SUM(L180:L186)</f>
        <v>4377440.6500000004</v>
      </c>
      <c r="M187" s="159">
        <f t="shared" si="54"/>
        <v>0</v>
      </c>
      <c r="N187" s="159">
        <f t="shared" si="54"/>
        <v>0</v>
      </c>
      <c r="O187" s="159">
        <f t="shared" si="54"/>
        <v>0</v>
      </c>
      <c r="P187" s="159">
        <f t="shared" si="54"/>
        <v>4377440.6500000004</v>
      </c>
      <c r="Q187" s="159">
        <f t="shared" si="50"/>
        <v>564.58336342765767</v>
      </c>
      <c r="R187" s="11" t="s">
        <v>222</v>
      </c>
      <c r="S187" s="152" t="s">
        <v>222</v>
      </c>
      <c r="T187" s="152" t="s">
        <v>222</v>
      </c>
      <c r="U187" s="237"/>
      <c r="V187" s="139">
        <f>L188-'виды работ '!C184</f>
        <v>0</v>
      </c>
      <c r="W187" s="238"/>
      <c r="X187" s="238"/>
    </row>
    <row r="188" spans="1:24" s="230" customFormat="1" ht="18.75" customHeight="1" x14ac:dyDescent="0.2">
      <c r="A188" s="169" t="s">
        <v>141</v>
      </c>
      <c r="B188" s="169"/>
      <c r="C188" s="169"/>
      <c r="D188" s="158" t="s">
        <v>222</v>
      </c>
      <c r="E188" s="158" t="s">
        <v>222</v>
      </c>
      <c r="F188" s="158" t="s">
        <v>222</v>
      </c>
      <c r="G188" s="158" t="s">
        <v>222</v>
      </c>
      <c r="H188" s="158">
        <f t="shared" ref="H188:P188" si="55">H146+H150+H158+H166+H169+H178+H187</f>
        <v>71816.319999999992</v>
      </c>
      <c r="I188" s="158">
        <f t="shared" si="55"/>
        <v>62531.21</v>
      </c>
      <c r="J188" s="158">
        <f t="shared" si="55"/>
        <v>54417.81</v>
      </c>
      <c r="K188" s="38">
        <f t="shared" si="55"/>
        <v>3059</v>
      </c>
      <c r="L188" s="158">
        <f t="shared" si="55"/>
        <v>78646825.030000001</v>
      </c>
      <c r="M188" s="158">
        <f t="shared" si="55"/>
        <v>0</v>
      </c>
      <c r="N188" s="158">
        <f t="shared" si="55"/>
        <v>0</v>
      </c>
      <c r="O188" s="158">
        <f t="shared" si="55"/>
        <v>0</v>
      </c>
      <c r="P188" s="158">
        <f t="shared" si="55"/>
        <v>78646825.030000001</v>
      </c>
      <c r="Q188" s="158">
        <f>L188/H188</f>
        <v>1095.1107635423259</v>
      </c>
      <c r="R188" s="17" t="s">
        <v>222</v>
      </c>
      <c r="S188" s="156" t="s">
        <v>222</v>
      </c>
      <c r="T188" s="156" t="s">
        <v>222</v>
      </c>
      <c r="U188" s="158"/>
      <c r="V188" s="139">
        <f>L189-'виды работ '!C185</f>
        <v>0</v>
      </c>
      <c r="W188" s="239"/>
      <c r="X188" s="239"/>
    </row>
    <row r="189" spans="1:24" s="138" customFormat="1" ht="15" customHeight="1" x14ac:dyDescent="0.2">
      <c r="A189" s="175" t="s">
        <v>41</v>
      </c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237"/>
      <c r="V189" s="139">
        <f>L190-'виды работ '!C186</f>
        <v>0</v>
      </c>
      <c r="W189" s="238"/>
      <c r="X189" s="238"/>
    </row>
    <row r="190" spans="1:24" s="138" customFormat="1" ht="15" customHeight="1" x14ac:dyDescent="0.2">
      <c r="A190" s="189" t="s">
        <v>228</v>
      </c>
      <c r="B190" s="189"/>
      <c r="C190" s="189"/>
      <c r="D190" s="189"/>
      <c r="E190" s="189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240"/>
      <c r="V190" s="139">
        <f>L191-'виды работ '!C187</f>
        <v>0</v>
      </c>
      <c r="W190" s="240"/>
      <c r="X190" s="240"/>
    </row>
    <row r="191" spans="1:24" s="138" customFormat="1" ht="15" customHeight="1" x14ac:dyDescent="0.2">
      <c r="A191" s="165">
        <f>A186+1</f>
        <v>115</v>
      </c>
      <c r="B191" s="155" t="s">
        <v>555</v>
      </c>
      <c r="C191" s="152">
        <v>1957</v>
      </c>
      <c r="D191" s="152"/>
      <c r="E191" s="152" t="s">
        <v>219</v>
      </c>
      <c r="F191" s="152">
        <v>4</v>
      </c>
      <c r="G191" s="152">
        <v>5</v>
      </c>
      <c r="H191" s="159">
        <v>3142.92</v>
      </c>
      <c r="I191" s="159">
        <v>2712.75</v>
      </c>
      <c r="J191" s="159">
        <v>2072.4899999999998</v>
      </c>
      <c r="K191" s="160">
        <v>110</v>
      </c>
      <c r="L191" s="159">
        <f>'виды работ '!C187</f>
        <v>988541.32000000007</v>
      </c>
      <c r="M191" s="159">
        <v>0</v>
      </c>
      <c r="N191" s="159">
        <v>0</v>
      </c>
      <c r="O191" s="159">
        <v>0</v>
      </c>
      <c r="P191" s="159">
        <f>L191</f>
        <v>988541.32000000007</v>
      </c>
      <c r="Q191" s="159">
        <f>L191/H191</f>
        <v>314.5295839537755</v>
      </c>
      <c r="R191" s="161">
        <v>14593.7</v>
      </c>
      <c r="S191" s="4" t="s">
        <v>279</v>
      </c>
      <c r="T191" s="152" t="s">
        <v>231</v>
      </c>
      <c r="U191" s="240"/>
      <c r="V191" s="139">
        <f>L192-'виды работ '!C188</f>
        <v>0</v>
      </c>
      <c r="W191" s="240"/>
      <c r="X191" s="240"/>
    </row>
    <row r="192" spans="1:24" s="138" customFormat="1" ht="12.75" customHeight="1" x14ac:dyDescent="0.2">
      <c r="A192" s="160">
        <f>A191+1</f>
        <v>116</v>
      </c>
      <c r="B192" s="5" t="s">
        <v>327</v>
      </c>
      <c r="C192" s="153">
        <v>1976</v>
      </c>
      <c r="D192" s="153"/>
      <c r="E192" s="152" t="s">
        <v>223</v>
      </c>
      <c r="F192" s="153">
        <v>9</v>
      </c>
      <c r="G192" s="153">
        <v>4</v>
      </c>
      <c r="H192" s="152">
        <v>7907.28</v>
      </c>
      <c r="I192" s="161">
        <v>5050.34</v>
      </c>
      <c r="J192" s="161">
        <v>3529.04</v>
      </c>
      <c r="K192" s="153">
        <v>386</v>
      </c>
      <c r="L192" s="159">
        <f>'виды работ '!C188</f>
        <v>6954828.2999999998</v>
      </c>
      <c r="M192" s="159">
        <v>0</v>
      </c>
      <c r="N192" s="159">
        <v>0</v>
      </c>
      <c r="O192" s="159">
        <v>0</v>
      </c>
      <c r="P192" s="159">
        <f>L192</f>
        <v>6954828.2999999998</v>
      </c>
      <c r="Q192" s="159">
        <f>L192/H192</f>
        <v>879.54749294321186</v>
      </c>
      <c r="R192" s="161">
        <v>14593.7</v>
      </c>
      <c r="S192" s="4" t="s">
        <v>279</v>
      </c>
      <c r="T192" s="152" t="s">
        <v>231</v>
      </c>
      <c r="U192" s="241"/>
      <c r="V192" s="139">
        <f>L193-'виды работ '!C189</f>
        <v>0</v>
      </c>
      <c r="W192" s="238"/>
      <c r="X192" s="238"/>
    </row>
    <row r="193" spans="1:24" s="138" customFormat="1" ht="12.75" customHeight="1" x14ac:dyDescent="0.2">
      <c r="A193" s="160">
        <f>A192+1</f>
        <v>117</v>
      </c>
      <c r="B193" s="5" t="s">
        <v>328</v>
      </c>
      <c r="C193" s="153">
        <v>1976</v>
      </c>
      <c r="D193" s="153"/>
      <c r="E193" s="152" t="s">
        <v>219</v>
      </c>
      <c r="F193" s="153">
        <v>7</v>
      </c>
      <c r="G193" s="153">
        <v>3</v>
      </c>
      <c r="H193" s="161">
        <v>5011.22</v>
      </c>
      <c r="I193" s="161">
        <v>4853.16</v>
      </c>
      <c r="J193" s="161">
        <v>4478.13</v>
      </c>
      <c r="K193" s="153">
        <v>173</v>
      </c>
      <c r="L193" s="159">
        <f>'виды работ '!C189</f>
        <v>4687884.07</v>
      </c>
      <c r="M193" s="159">
        <v>0</v>
      </c>
      <c r="N193" s="159">
        <v>0</v>
      </c>
      <c r="O193" s="159">
        <v>0</v>
      </c>
      <c r="P193" s="159">
        <f>L193</f>
        <v>4687884.07</v>
      </c>
      <c r="Q193" s="159">
        <f>L193/H193</f>
        <v>935.47760226052742</v>
      </c>
      <c r="R193" s="161">
        <v>14593.7</v>
      </c>
      <c r="S193" s="4" t="s">
        <v>279</v>
      </c>
      <c r="T193" s="152" t="s">
        <v>231</v>
      </c>
      <c r="U193" s="241"/>
      <c r="V193" s="139">
        <f>L194-'виды работ '!C190</f>
        <v>0</v>
      </c>
      <c r="W193" s="238"/>
      <c r="X193" s="238"/>
    </row>
    <row r="194" spans="1:24" s="138" customFormat="1" ht="12.75" customHeight="1" x14ac:dyDescent="0.2">
      <c r="A194" s="160">
        <f>A193+1</f>
        <v>118</v>
      </c>
      <c r="B194" s="5" t="s">
        <v>326</v>
      </c>
      <c r="C194" s="153" t="s">
        <v>236</v>
      </c>
      <c r="D194" s="153"/>
      <c r="E194" s="152" t="s">
        <v>219</v>
      </c>
      <c r="F194" s="153">
        <v>7</v>
      </c>
      <c r="G194" s="153">
        <v>6</v>
      </c>
      <c r="H194" s="161">
        <v>7576</v>
      </c>
      <c r="I194" s="161">
        <v>5686.2</v>
      </c>
      <c r="J194" s="161">
        <v>4397.79</v>
      </c>
      <c r="K194" s="153">
        <v>221</v>
      </c>
      <c r="L194" s="159">
        <f>'виды работ '!C190</f>
        <v>2819489.33</v>
      </c>
      <c r="M194" s="159">
        <v>0</v>
      </c>
      <c r="N194" s="159">
        <v>0</v>
      </c>
      <c r="O194" s="159">
        <v>0</v>
      </c>
      <c r="P194" s="159">
        <f>L194</f>
        <v>2819489.33</v>
      </c>
      <c r="Q194" s="159">
        <f>L194/H194</f>
        <v>372.16068241816265</v>
      </c>
      <c r="R194" s="161">
        <v>14593.7</v>
      </c>
      <c r="S194" s="4" t="s">
        <v>279</v>
      </c>
      <c r="T194" s="152" t="s">
        <v>231</v>
      </c>
      <c r="U194" s="241"/>
      <c r="V194" s="139">
        <f>L195-'виды работ '!C191</f>
        <v>0</v>
      </c>
      <c r="W194" s="238"/>
      <c r="X194" s="238"/>
    </row>
    <row r="195" spans="1:24" s="138" customFormat="1" ht="12.75" x14ac:dyDescent="0.2">
      <c r="A195" s="171" t="s">
        <v>18</v>
      </c>
      <c r="B195" s="171"/>
      <c r="C195" s="171"/>
      <c r="D195" s="159" t="s">
        <v>222</v>
      </c>
      <c r="E195" s="159" t="s">
        <v>222</v>
      </c>
      <c r="F195" s="159" t="s">
        <v>222</v>
      </c>
      <c r="G195" s="159" t="s">
        <v>222</v>
      </c>
      <c r="H195" s="159">
        <f t="shared" ref="H195:P195" si="56">SUM(H191:H194)</f>
        <v>23637.420000000002</v>
      </c>
      <c r="I195" s="159">
        <f t="shared" si="56"/>
        <v>18302.45</v>
      </c>
      <c r="J195" s="159">
        <f t="shared" si="56"/>
        <v>14477.45</v>
      </c>
      <c r="K195" s="160">
        <f t="shared" si="56"/>
        <v>890</v>
      </c>
      <c r="L195" s="159">
        <f t="shared" si="56"/>
        <v>15450743.020000001</v>
      </c>
      <c r="M195" s="159">
        <f t="shared" si="56"/>
        <v>0</v>
      </c>
      <c r="N195" s="159">
        <f t="shared" si="56"/>
        <v>0</v>
      </c>
      <c r="O195" s="159">
        <f t="shared" si="56"/>
        <v>0</v>
      </c>
      <c r="P195" s="159">
        <f t="shared" si="56"/>
        <v>15450743.020000001</v>
      </c>
      <c r="Q195" s="159">
        <f>L195/H195</f>
        <v>653.65606821725896</v>
      </c>
      <c r="R195" s="11" t="s">
        <v>222</v>
      </c>
      <c r="S195" s="152" t="s">
        <v>222</v>
      </c>
      <c r="T195" s="152" t="s">
        <v>222</v>
      </c>
      <c r="U195" s="241"/>
      <c r="V195" s="139">
        <f>L196-'виды работ '!C192</f>
        <v>0</v>
      </c>
      <c r="W195" s="238"/>
      <c r="X195" s="238"/>
    </row>
    <row r="196" spans="1:24" s="138" customFormat="1" ht="12.75" x14ac:dyDescent="0.2">
      <c r="A196" s="169" t="s">
        <v>43</v>
      </c>
      <c r="B196" s="169"/>
      <c r="C196" s="169"/>
      <c r="D196" s="169"/>
      <c r="E196" s="169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241"/>
      <c r="V196" s="139">
        <f>L197-'виды работ '!C193</f>
        <v>0</v>
      </c>
      <c r="W196" s="238"/>
      <c r="X196" s="238"/>
    </row>
    <row r="197" spans="1:24" s="138" customFormat="1" ht="15.75" customHeight="1" x14ac:dyDescent="0.2">
      <c r="A197" s="160">
        <f>A194+1</f>
        <v>119</v>
      </c>
      <c r="B197" s="5" t="s">
        <v>329</v>
      </c>
      <c r="C197" s="153">
        <v>1940</v>
      </c>
      <c r="D197" s="153"/>
      <c r="E197" s="152" t="s">
        <v>255</v>
      </c>
      <c r="F197" s="153">
        <v>2</v>
      </c>
      <c r="G197" s="153">
        <v>2</v>
      </c>
      <c r="H197" s="7">
        <v>248.4</v>
      </c>
      <c r="I197" s="7">
        <v>247.19</v>
      </c>
      <c r="J197" s="153">
        <v>134.63</v>
      </c>
      <c r="K197" s="10">
        <v>11</v>
      </c>
      <c r="L197" s="161">
        <f>'виды работ '!C193</f>
        <v>1202960.23</v>
      </c>
      <c r="M197" s="159">
        <v>0</v>
      </c>
      <c r="N197" s="159">
        <v>0</v>
      </c>
      <c r="O197" s="159">
        <v>0</v>
      </c>
      <c r="P197" s="159">
        <f t="shared" ref="P197:P204" si="57">L197</f>
        <v>1202960.23</v>
      </c>
      <c r="Q197" s="159">
        <f t="shared" ref="Q197:Q207" si="58">L197/H197</f>
        <v>4842.8350644122384</v>
      </c>
      <c r="R197" s="161">
        <v>14593.7</v>
      </c>
      <c r="S197" s="4" t="s">
        <v>279</v>
      </c>
      <c r="T197" s="152" t="s">
        <v>231</v>
      </c>
      <c r="U197" s="126"/>
      <c r="V197" s="139">
        <f>L198-'виды работ '!C194</f>
        <v>0</v>
      </c>
    </row>
    <row r="198" spans="1:24" s="138" customFormat="1" ht="15.75" customHeight="1" x14ac:dyDescent="0.2">
      <c r="A198" s="160">
        <f t="shared" ref="A198:A206" si="59">A197+1</f>
        <v>120</v>
      </c>
      <c r="B198" s="5" t="s">
        <v>330</v>
      </c>
      <c r="C198" s="153">
        <v>1970</v>
      </c>
      <c r="D198" s="153"/>
      <c r="E198" s="152" t="s">
        <v>219</v>
      </c>
      <c r="F198" s="153">
        <v>5</v>
      </c>
      <c r="G198" s="153">
        <v>4</v>
      </c>
      <c r="H198" s="161">
        <v>3469.68</v>
      </c>
      <c r="I198" s="153">
        <v>3349.37</v>
      </c>
      <c r="J198" s="153">
        <v>2914.5</v>
      </c>
      <c r="K198" s="153">
        <v>134</v>
      </c>
      <c r="L198" s="161">
        <f>'виды работ '!C194</f>
        <v>1162286.23</v>
      </c>
      <c r="M198" s="159">
        <v>0</v>
      </c>
      <c r="N198" s="159">
        <v>0</v>
      </c>
      <c r="O198" s="159">
        <v>0</v>
      </c>
      <c r="P198" s="159">
        <f t="shared" si="57"/>
        <v>1162286.23</v>
      </c>
      <c r="Q198" s="159">
        <f t="shared" si="58"/>
        <v>334.98369590279219</v>
      </c>
      <c r="R198" s="161">
        <v>14593.7</v>
      </c>
      <c r="S198" s="4" t="s">
        <v>279</v>
      </c>
      <c r="T198" s="152" t="s">
        <v>231</v>
      </c>
      <c r="U198" s="126"/>
      <c r="V198" s="139">
        <f>L199-'виды работ '!C195</f>
        <v>0</v>
      </c>
    </row>
    <row r="199" spans="1:24" s="138" customFormat="1" ht="15.75" customHeight="1" x14ac:dyDescent="0.2">
      <c r="A199" s="160">
        <f t="shared" si="59"/>
        <v>121</v>
      </c>
      <c r="B199" s="5" t="s">
        <v>331</v>
      </c>
      <c r="C199" s="153">
        <v>1965</v>
      </c>
      <c r="D199" s="153"/>
      <c r="E199" s="152" t="s">
        <v>219</v>
      </c>
      <c r="F199" s="153">
        <v>2</v>
      </c>
      <c r="G199" s="153">
        <v>1</v>
      </c>
      <c r="H199" s="153">
        <v>381.97</v>
      </c>
      <c r="I199" s="153">
        <v>380.23</v>
      </c>
      <c r="J199" s="153">
        <v>380.23</v>
      </c>
      <c r="K199" s="153">
        <v>8</v>
      </c>
      <c r="L199" s="161">
        <f>'виды работ '!C195</f>
        <v>152084.82999999999</v>
      </c>
      <c r="M199" s="159">
        <v>0</v>
      </c>
      <c r="N199" s="159">
        <v>0</v>
      </c>
      <c r="O199" s="159">
        <v>0</v>
      </c>
      <c r="P199" s="159">
        <f t="shared" si="57"/>
        <v>152084.82999999999</v>
      </c>
      <c r="Q199" s="159">
        <f t="shared" si="58"/>
        <v>398.15909626410445</v>
      </c>
      <c r="R199" s="161">
        <v>14593.7</v>
      </c>
      <c r="S199" s="4" t="s">
        <v>279</v>
      </c>
      <c r="T199" s="152" t="s">
        <v>231</v>
      </c>
      <c r="U199" s="126"/>
      <c r="V199" s="139">
        <f>L200-'виды работ '!C196</f>
        <v>0</v>
      </c>
    </row>
    <row r="200" spans="1:24" s="138" customFormat="1" ht="15.75" customHeight="1" x14ac:dyDescent="0.2">
      <c r="A200" s="160">
        <f t="shared" si="59"/>
        <v>122</v>
      </c>
      <c r="B200" s="5" t="s">
        <v>332</v>
      </c>
      <c r="C200" s="153">
        <v>1968</v>
      </c>
      <c r="D200" s="153"/>
      <c r="E200" s="152" t="s">
        <v>219</v>
      </c>
      <c r="F200" s="153">
        <v>5</v>
      </c>
      <c r="G200" s="153">
        <v>4</v>
      </c>
      <c r="H200" s="153">
        <v>4147.5</v>
      </c>
      <c r="I200" s="153">
        <v>3291.29</v>
      </c>
      <c r="J200" s="153">
        <v>2731.49</v>
      </c>
      <c r="K200" s="153">
        <v>145</v>
      </c>
      <c r="L200" s="161">
        <f>'виды работ '!C196</f>
        <v>894100.73</v>
      </c>
      <c r="M200" s="159">
        <v>0</v>
      </c>
      <c r="N200" s="159">
        <v>0</v>
      </c>
      <c r="O200" s="159">
        <v>0</v>
      </c>
      <c r="P200" s="159">
        <f t="shared" si="57"/>
        <v>894100.73</v>
      </c>
      <c r="Q200" s="159">
        <f t="shared" si="58"/>
        <v>215.57582399035564</v>
      </c>
      <c r="R200" s="161">
        <v>14593.7</v>
      </c>
      <c r="S200" s="4" t="s">
        <v>279</v>
      </c>
      <c r="T200" s="152" t="s">
        <v>231</v>
      </c>
      <c r="U200" s="126"/>
      <c r="V200" s="139">
        <f>L201-'виды работ '!C197</f>
        <v>0</v>
      </c>
    </row>
    <row r="201" spans="1:24" s="138" customFormat="1" ht="15.75" customHeight="1" x14ac:dyDescent="0.2">
      <c r="A201" s="160">
        <f t="shared" si="59"/>
        <v>123</v>
      </c>
      <c r="B201" s="5" t="s">
        <v>333</v>
      </c>
      <c r="C201" s="153">
        <v>1964</v>
      </c>
      <c r="D201" s="153"/>
      <c r="E201" s="152" t="s">
        <v>219</v>
      </c>
      <c r="F201" s="153">
        <v>4</v>
      </c>
      <c r="G201" s="153">
        <v>2</v>
      </c>
      <c r="H201" s="7">
        <v>1307.17</v>
      </c>
      <c r="I201" s="7">
        <v>1284.5</v>
      </c>
      <c r="J201" s="153">
        <v>1197.8800000000001</v>
      </c>
      <c r="K201" s="10">
        <v>47</v>
      </c>
      <c r="L201" s="161">
        <f>'виды работ '!C197</f>
        <v>724688</v>
      </c>
      <c r="M201" s="159">
        <v>0</v>
      </c>
      <c r="N201" s="159">
        <v>0</v>
      </c>
      <c r="O201" s="159">
        <v>0</v>
      </c>
      <c r="P201" s="159">
        <f t="shared" si="57"/>
        <v>724688</v>
      </c>
      <c r="Q201" s="159">
        <f t="shared" si="58"/>
        <v>554.39460819939256</v>
      </c>
      <c r="R201" s="161">
        <v>14593.7</v>
      </c>
      <c r="S201" s="4" t="s">
        <v>279</v>
      </c>
      <c r="T201" s="152" t="s">
        <v>231</v>
      </c>
      <c r="U201" s="126"/>
      <c r="V201" s="139">
        <f>L202-'виды работ '!C198</f>
        <v>0</v>
      </c>
    </row>
    <row r="202" spans="1:24" s="138" customFormat="1" ht="12.75" x14ac:dyDescent="0.2">
      <c r="A202" s="160">
        <f t="shared" si="59"/>
        <v>124</v>
      </c>
      <c r="B202" s="5" t="s">
        <v>337</v>
      </c>
      <c r="C202" s="153">
        <v>1984</v>
      </c>
      <c r="D202" s="153"/>
      <c r="E202" s="152" t="s">
        <v>223</v>
      </c>
      <c r="F202" s="153">
        <v>5</v>
      </c>
      <c r="G202" s="153">
        <v>4</v>
      </c>
      <c r="H202" s="7">
        <f>4624.7+12</f>
        <v>4636.7</v>
      </c>
      <c r="I202" s="7">
        <v>4577.3999999999996</v>
      </c>
      <c r="J202" s="153">
        <v>3758.05</v>
      </c>
      <c r="K202" s="10">
        <v>238</v>
      </c>
      <c r="L202" s="161">
        <f>'виды работ '!C198</f>
        <v>1571872.6</v>
      </c>
      <c r="M202" s="159">
        <v>0</v>
      </c>
      <c r="N202" s="159">
        <v>0</v>
      </c>
      <c r="O202" s="159">
        <v>0</v>
      </c>
      <c r="P202" s="159">
        <f>L202</f>
        <v>1571872.6</v>
      </c>
      <c r="Q202" s="159">
        <f>L202/H202</f>
        <v>339.00675049065069</v>
      </c>
      <c r="R202" s="161">
        <v>14593.7</v>
      </c>
      <c r="S202" s="4" t="s">
        <v>279</v>
      </c>
      <c r="T202" s="152" t="s">
        <v>231</v>
      </c>
      <c r="U202" s="126"/>
      <c r="V202" s="139">
        <f>L203-'виды работ '!C199</f>
        <v>0</v>
      </c>
    </row>
    <row r="203" spans="1:24" s="138" customFormat="1" ht="12.75" x14ac:dyDescent="0.2">
      <c r="A203" s="160">
        <f t="shared" si="59"/>
        <v>125</v>
      </c>
      <c r="B203" s="5" t="s">
        <v>334</v>
      </c>
      <c r="C203" s="153">
        <v>1972</v>
      </c>
      <c r="D203" s="153"/>
      <c r="E203" s="152" t="s">
        <v>219</v>
      </c>
      <c r="F203" s="153">
        <v>2</v>
      </c>
      <c r="G203" s="153">
        <v>2</v>
      </c>
      <c r="H203" s="7">
        <v>769.64</v>
      </c>
      <c r="I203" s="7">
        <v>751.3</v>
      </c>
      <c r="J203" s="153">
        <v>408.7</v>
      </c>
      <c r="K203" s="10">
        <v>25</v>
      </c>
      <c r="L203" s="161">
        <f>'виды работ '!C199</f>
        <v>355419.65</v>
      </c>
      <c r="M203" s="159">
        <v>0</v>
      </c>
      <c r="N203" s="159">
        <v>0</v>
      </c>
      <c r="O203" s="159">
        <v>0</v>
      </c>
      <c r="P203" s="159">
        <f t="shared" si="57"/>
        <v>355419.65</v>
      </c>
      <c r="Q203" s="159">
        <f t="shared" si="58"/>
        <v>461.79986747050572</v>
      </c>
      <c r="R203" s="161">
        <v>14593.7</v>
      </c>
      <c r="S203" s="4" t="s">
        <v>279</v>
      </c>
      <c r="T203" s="152" t="s">
        <v>231</v>
      </c>
      <c r="U203" s="126"/>
      <c r="V203" s="139">
        <f>L204-'виды работ '!C200</f>
        <v>0</v>
      </c>
    </row>
    <row r="204" spans="1:24" s="138" customFormat="1" ht="12.75" x14ac:dyDescent="0.2">
      <c r="A204" s="160">
        <f t="shared" si="59"/>
        <v>126</v>
      </c>
      <c r="B204" s="5" t="s">
        <v>335</v>
      </c>
      <c r="C204" s="152">
        <v>1972</v>
      </c>
      <c r="D204" s="153"/>
      <c r="E204" s="152" t="s">
        <v>219</v>
      </c>
      <c r="F204" s="153">
        <v>2</v>
      </c>
      <c r="G204" s="153">
        <v>2</v>
      </c>
      <c r="H204" s="7">
        <v>827.71</v>
      </c>
      <c r="I204" s="7">
        <v>768.28</v>
      </c>
      <c r="J204" s="153">
        <v>261.91000000000003</v>
      </c>
      <c r="K204" s="10">
        <v>32</v>
      </c>
      <c r="L204" s="161">
        <f>'виды работ '!C200</f>
        <v>2688027.42</v>
      </c>
      <c r="M204" s="159">
        <v>0</v>
      </c>
      <c r="N204" s="159">
        <v>0</v>
      </c>
      <c r="O204" s="159">
        <v>0</v>
      </c>
      <c r="P204" s="159">
        <f t="shared" si="57"/>
        <v>2688027.42</v>
      </c>
      <c r="Q204" s="159">
        <f t="shared" si="58"/>
        <v>3247.5473535416991</v>
      </c>
      <c r="R204" s="161">
        <v>14593.7</v>
      </c>
      <c r="S204" s="4" t="s">
        <v>279</v>
      </c>
      <c r="T204" s="152" t="s">
        <v>231</v>
      </c>
      <c r="U204" s="126"/>
      <c r="V204" s="139">
        <f>L205-'виды работ '!C201</f>
        <v>0</v>
      </c>
    </row>
    <row r="205" spans="1:24" s="138" customFormat="1" ht="12.75" x14ac:dyDescent="0.2">
      <c r="A205" s="160">
        <f t="shared" si="59"/>
        <v>127</v>
      </c>
      <c r="B205" s="167" t="s">
        <v>590</v>
      </c>
      <c r="C205" s="12">
        <v>1966</v>
      </c>
      <c r="D205" s="159"/>
      <c r="E205" s="152" t="s">
        <v>219</v>
      </c>
      <c r="F205" s="165">
        <v>2</v>
      </c>
      <c r="G205" s="165">
        <v>2</v>
      </c>
      <c r="H205" s="161">
        <v>620.24</v>
      </c>
      <c r="I205" s="161">
        <v>615.55999999999995</v>
      </c>
      <c r="J205" s="161">
        <v>263.48</v>
      </c>
      <c r="K205" s="165">
        <v>35</v>
      </c>
      <c r="L205" s="159">
        <f>'виды работ '!C201</f>
        <v>1639021.25</v>
      </c>
      <c r="M205" s="159">
        <v>0</v>
      </c>
      <c r="N205" s="159">
        <v>0</v>
      </c>
      <c r="O205" s="159">
        <v>0</v>
      </c>
      <c r="P205" s="159">
        <f>L205</f>
        <v>1639021.25</v>
      </c>
      <c r="Q205" s="159">
        <f>L205/H205</f>
        <v>2642.5597349413129</v>
      </c>
      <c r="R205" s="161">
        <v>14593.7</v>
      </c>
      <c r="S205" s="4" t="s">
        <v>279</v>
      </c>
      <c r="T205" s="152" t="s">
        <v>231</v>
      </c>
      <c r="U205" s="241"/>
      <c r="V205" s="139">
        <f>L206-'виды работ '!C202</f>
        <v>0</v>
      </c>
      <c r="W205" s="238"/>
      <c r="X205" s="238"/>
    </row>
    <row r="206" spans="1:24" s="138" customFormat="1" ht="12.75" x14ac:dyDescent="0.2">
      <c r="A206" s="160">
        <f t="shared" si="59"/>
        <v>128</v>
      </c>
      <c r="B206" s="5" t="s">
        <v>336</v>
      </c>
      <c r="C206" s="153">
        <v>1961</v>
      </c>
      <c r="D206" s="153"/>
      <c r="E206" s="152" t="s">
        <v>219</v>
      </c>
      <c r="F206" s="153">
        <v>2</v>
      </c>
      <c r="G206" s="153">
        <v>2</v>
      </c>
      <c r="H206" s="7">
        <v>513.36</v>
      </c>
      <c r="I206" s="7">
        <v>443.97</v>
      </c>
      <c r="J206" s="153">
        <v>194.82</v>
      </c>
      <c r="K206" s="10">
        <v>13</v>
      </c>
      <c r="L206" s="161">
        <f>'виды работ '!C202</f>
        <v>152752.38</v>
      </c>
      <c r="M206" s="159">
        <v>0</v>
      </c>
      <c r="N206" s="159">
        <v>0</v>
      </c>
      <c r="O206" s="159">
        <v>0</v>
      </c>
      <c r="P206" s="159">
        <f>L206</f>
        <v>152752.38</v>
      </c>
      <c r="Q206" s="159">
        <f>L206/H206</f>
        <v>297.55411407199625</v>
      </c>
      <c r="R206" s="161">
        <v>14593.7</v>
      </c>
      <c r="S206" s="4" t="s">
        <v>279</v>
      </c>
      <c r="T206" s="152" t="s">
        <v>231</v>
      </c>
      <c r="U206" s="126"/>
      <c r="V206" s="139">
        <f>L207-'виды работ '!C203</f>
        <v>0</v>
      </c>
    </row>
    <row r="207" spans="1:24" s="138" customFormat="1" ht="12.75" x14ac:dyDescent="0.2">
      <c r="A207" s="171" t="s">
        <v>18</v>
      </c>
      <c r="B207" s="171"/>
      <c r="C207" s="171"/>
      <c r="D207" s="159" t="s">
        <v>222</v>
      </c>
      <c r="E207" s="159" t="s">
        <v>222</v>
      </c>
      <c r="F207" s="160" t="s">
        <v>222</v>
      </c>
      <c r="G207" s="160" t="s">
        <v>222</v>
      </c>
      <c r="H207" s="159">
        <f t="shared" ref="H207:P207" si="60">SUM(H197:H206)</f>
        <v>16922.37</v>
      </c>
      <c r="I207" s="159">
        <f t="shared" si="60"/>
        <v>15709.089999999998</v>
      </c>
      <c r="J207" s="159">
        <f t="shared" si="60"/>
        <v>12245.69</v>
      </c>
      <c r="K207" s="160">
        <f t="shared" si="60"/>
        <v>688</v>
      </c>
      <c r="L207" s="159">
        <f t="shared" si="60"/>
        <v>10543213.320000002</v>
      </c>
      <c r="M207" s="159">
        <f t="shared" si="60"/>
        <v>0</v>
      </c>
      <c r="N207" s="159">
        <f t="shared" si="60"/>
        <v>0</v>
      </c>
      <c r="O207" s="159">
        <f t="shared" si="60"/>
        <v>0</v>
      </c>
      <c r="P207" s="159">
        <f t="shared" si="60"/>
        <v>10543213.320000002</v>
      </c>
      <c r="Q207" s="159">
        <f t="shared" si="58"/>
        <v>623.03408565112352</v>
      </c>
      <c r="R207" s="11" t="s">
        <v>222</v>
      </c>
      <c r="S207" s="4" t="s">
        <v>222</v>
      </c>
      <c r="T207" s="152" t="s">
        <v>222</v>
      </c>
      <c r="U207" s="126"/>
      <c r="V207" s="139">
        <f>L208-'виды работ '!C204</f>
        <v>0</v>
      </c>
    </row>
    <row r="208" spans="1:24" s="138" customFormat="1" ht="15.75" customHeight="1" x14ac:dyDescent="0.2">
      <c r="A208" s="169" t="s">
        <v>44</v>
      </c>
      <c r="B208" s="169"/>
      <c r="C208" s="169"/>
      <c r="D208" s="169"/>
      <c r="E208" s="169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26"/>
      <c r="V208" s="139">
        <f>L209-'виды работ '!C205</f>
        <v>0</v>
      </c>
    </row>
    <row r="209" spans="1:22" s="138" customFormat="1" ht="12.75" x14ac:dyDescent="0.2">
      <c r="A209" s="160">
        <f>A206+1</f>
        <v>129</v>
      </c>
      <c r="B209" s="5" t="s">
        <v>45</v>
      </c>
      <c r="C209" s="152">
        <v>1960</v>
      </c>
      <c r="D209" s="152"/>
      <c r="E209" s="152" t="s">
        <v>219</v>
      </c>
      <c r="F209" s="152">
        <v>2</v>
      </c>
      <c r="G209" s="152">
        <v>2</v>
      </c>
      <c r="H209" s="7">
        <v>573.29999999999995</v>
      </c>
      <c r="I209" s="152">
        <v>513.29999999999995</v>
      </c>
      <c r="J209" s="152">
        <v>330.34</v>
      </c>
      <c r="K209" s="152">
        <v>16</v>
      </c>
      <c r="L209" s="159">
        <f>'виды работ '!C205</f>
        <v>1845999.78</v>
      </c>
      <c r="M209" s="159">
        <v>0</v>
      </c>
      <c r="N209" s="159">
        <v>0</v>
      </c>
      <c r="O209" s="159">
        <v>0</v>
      </c>
      <c r="P209" s="159">
        <f>L209</f>
        <v>1845999.78</v>
      </c>
      <c r="Q209" s="159">
        <f>L209/H209</f>
        <v>3219.9542647828366</v>
      </c>
      <c r="R209" s="161">
        <v>14593.7</v>
      </c>
      <c r="S209" s="4" t="s">
        <v>279</v>
      </c>
      <c r="T209" s="152" t="s">
        <v>231</v>
      </c>
      <c r="U209" s="126"/>
      <c r="V209" s="139">
        <f>L210-'виды работ '!C206</f>
        <v>0</v>
      </c>
    </row>
    <row r="210" spans="1:22" s="138" customFormat="1" ht="12.75" x14ac:dyDescent="0.2">
      <c r="A210" s="160">
        <f>A209+1</f>
        <v>130</v>
      </c>
      <c r="B210" s="5" t="s">
        <v>46</v>
      </c>
      <c r="C210" s="152">
        <v>1971</v>
      </c>
      <c r="D210" s="152"/>
      <c r="E210" s="152" t="s">
        <v>223</v>
      </c>
      <c r="F210" s="152">
        <v>5</v>
      </c>
      <c r="G210" s="152">
        <v>4</v>
      </c>
      <c r="H210" s="152">
        <v>3503.2</v>
      </c>
      <c r="I210" s="152">
        <v>3503.22</v>
      </c>
      <c r="J210" s="152">
        <v>2201.5300000000002</v>
      </c>
      <c r="K210" s="152">
        <v>178</v>
      </c>
      <c r="L210" s="159">
        <f>'виды работ '!C206</f>
        <v>360001.31</v>
      </c>
      <c r="M210" s="159">
        <v>0</v>
      </c>
      <c r="N210" s="159">
        <v>0</v>
      </c>
      <c r="O210" s="159">
        <v>0</v>
      </c>
      <c r="P210" s="159">
        <f>L210</f>
        <v>360001.31</v>
      </c>
      <c r="Q210" s="159">
        <f>L210/H210</f>
        <v>102.76356188627541</v>
      </c>
      <c r="R210" s="161">
        <v>14593.7</v>
      </c>
      <c r="S210" s="4" t="s">
        <v>279</v>
      </c>
      <c r="T210" s="152" t="s">
        <v>231</v>
      </c>
      <c r="U210" s="126"/>
      <c r="V210" s="139">
        <f>L211-'виды работ '!C207</f>
        <v>0</v>
      </c>
    </row>
    <row r="211" spans="1:22" s="138" customFormat="1" ht="12.75" x14ac:dyDescent="0.2">
      <c r="A211" s="171" t="s">
        <v>18</v>
      </c>
      <c r="B211" s="171"/>
      <c r="C211" s="171"/>
      <c r="D211" s="159" t="s">
        <v>222</v>
      </c>
      <c r="E211" s="159" t="s">
        <v>222</v>
      </c>
      <c r="F211" s="159" t="s">
        <v>222</v>
      </c>
      <c r="G211" s="159" t="s">
        <v>222</v>
      </c>
      <c r="H211" s="161">
        <f>SUM(H209:H210)</f>
        <v>4076.5</v>
      </c>
      <c r="I211" s="161">
        <f t="shared" ref="I211:O211" si="61">SUM(I209:I210)</f>
        <v>4016.5199999999995</v>
      </c>
      <c r="J211" s="161">
        <f t="shared" si="61"/>
        <v>2531.8700000000003</v>
      </c>
      <c r="K211" s="165">
        <f t="shared" si="61"/>
        <v>194</v>
      </c>
      <c r="L211" s="161">
        <f>SUM(L209:L210)</f>
        <v>2206001.09</v>
      </c>
      <c r="M211" s="161">
        <f t="shared" si="61"/>
        <v>0</v>
      </c>
      <c r="N211" s="161">
        <f t="shared" si="61"/>
        <v>0</v>
      </c>
      <c r="O211" s="161">
        <f t="shared" si="61"/>
        <v>0</v>
      </c>
      <c r="P211" s="161">
        <f>SUM(P209:P210)</f>
        <v>2206001.09</v>
      </c>
      <c r="Q211" s="159">
        <f>L211/H211</f>
        <v>541.15076413590089</v>
      </c>
      <c r="R211" s="11" t="s">
        <v>222</v>
      </c>
      <c r="S211" s="4" t="s">
        <v>222</v>
      </c>
      <c r="T211" s="4" t="s">
        <v>222</v>
      </c>
      <c r="U211" s="139"/>
      <c r="V211" s="139">
        <f>L212-'виды работ '!C208</f>
        <v>0</v>
      </c>
    </row>
    <row r="212" spans="1:22" s="138" customFormat="1" ht="12.75" customHeight="1" x14ac:dyDescent="0.2">
      <c r="A212" s="169" t="s">
        <v>556</v>
      </c>
      <c r="B212" s="169"/>
      <c r="C212" s="169"/>
      <c r="D212" s="169"/>
      <c r="E212" s="169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39"/>
      <c r="V212" s="139">
        <f>L213-'виды работ '!C209</f>
        <v>0</v>
      </c>
    </row>
    <row r="213" spans="1:22" s="138" customFormat="1" ht="12.75" x14ac:dyDescent="0.2">
      <c r="A213" s="160">
        <f>A210+1</f>
        <v>131</v>
      </c>
      <c r="B213" s="39" t="s">
        <v>558</v>
      </c>
      <c r="C213" s="152">
        <v>1968</v>
      </c>
      <c r="D213" s="152"/>
      <c r="E213" s="152" t="s">
        <v>219</v>
      </c>
      <c r="F213" s="152">
        <v>5</v>
      </c>
      <c r="G213" s="152">
        <v>4</v>
      </c>
      <c r="H213" s="152">
        <v>4091.36</v>
      </c>
      <c r="I213" s="152">
        <v>3479</v>
      </c>
      <c r="J213" s="152">
        <v>3058.72</v>
      </c>
      <c r="K213" s="152">
        <v>130</v>
      </c>
      <c r="L213" s="161">
        <f>'виды работ '!C209</f>
        <v>4643097.3499999996</v>
      </c>
      <c r="M213" s="159">
        <v>0</v>
      </c>
      <c r="N213" s="159">
        <v>0</v>
      </c>
      <c r="O213" s="159">
        <v>0</v>
      </c>
      <c r="P213" s="159">
        <f>L213</f>
        <v>4643097.3499999996</v>
      </c>
      <c r="Q213" s="159">
        <f>L213/H213</f>
        <v>1134.8542660631183</v>
      </c>
      <c r="R213" s="161">
        <v>14593.7</v>
      </c>
      <c r="S213" s="4" t="s">
        <v>279</v>
      </c>
      <c r="T213" s="152" t="s">
        <v>231</v>
      </c>
      <c r="U213" s="139"/>
      <c r="V213" s="139">
        <f>L214-'виды работ '!C210</f>
        <v>0</v>
      </c>
    </row>
    <row r="214" spans="1:22" s="138" customFormat="1" ht="12.75" x14ac:dyDescent="0.2">
      <c r="A214" s="171" t="s">
        <v>18</v>
      </c>
      <c r="B214" s="171"/>
      <c r="C214" s="171"/>
      <c r="D214" s="159" t="s">
        <v>222</v>
      </c>
      <c r="E214" s="159" t="s">
        <v>222</v>
      </c>
      <c r="F214" s="159" t="s">
        <v>222</v>
      </c>
      <c r="G214" s="159" t="s">
        <v>222</v>
      </c>
      <c r="H214" s="161">
        <f t="shared" ref="H214:P214" si="62">SUM(H213:H213)</f>
        <v>4091.36</v>
      </c>
      <c r="I214" s="161">
        <f t="shared" si="62"/>
        <v>3479</v>
      </c>
      <c r="J214" s="161">
        <f t="shared" si="62"/>
        <v>3058.72</v>
      </c>
      <c r="K214" s="165">
        <f t="shared" si="62"/>
        <v>130</v>
      </c>
      <c r="L214" s="161">
        <f t="shared" si="62"/>
        <v>4643097.3499999996</v>
      </c>
      <c r="M214" s="161">
        <f t="shared" si="62"/>
        <v>0</v>
      </c>
      <c r="N214" s="161">
        <f t="shared" si="62"/>
        <v>0</v>
      </c>
      <c r="O214" s="161">
        <f t="shared" si="62"/>
        <v>0</v>
      </c>
      <c r="P214" s="161">
        <f t="shared" si="62"/>
        <v>4643097.3499999996</v>
      </c>
      <c r="Q214" s="159">
        <f>L214/H214</f>
        <v>1134.8542660631183</v>
      </c>
      <c r="R214" s="11" t="s">
        <v>222</v>
      </c>
      <c r="S214" s="4" t="s">
        <v>222</v>
      </c>
      <c r="T214" s="4" t="s">
        <v>222</v>
      </c>
      <c r="U214" s="139"/>
      <c r="V214" s="139">
        <f>L215-'виды работ '!C211</f>
        <v>0</v>
      </c>
    </row>
    <row r="215" spans="1:22" s="138" customFormat="1" ht="12.75" x14ac:dyDescent="0.2">
      <c r="A215" s="169" t="s">
        <v>47</v>
      </c>
      <c r="B215" s="169"/>
      <c r="C215" s="169"/>
      <c r="D215" s="169"/>
      <c r="E215" s="169"/>
      <c r="F215" s="159"/>
      <c r="G215" s="159"/>
      <c r="H215" s="161"/>
      <c r="I215" s="161"/>
      <c r="J215" s="161"/>
      <c r="K215" s="161"/>
      <c r="L215" s="161"/>
      <c r="M215" s="161"/>
      <c r="N215" s="161"/>
      <c r="O215" s="161"/>
      <c r="P215" s="161"/>
      <c r="Q215" s="159"/>
      <c r="R215" s="11"/>
      <c r="S215" s="4"/>
      <c r="T215" s="4"/>
      <c r="U215" s="139"/>
      <c r="V215" s="139">
        <f>L216-'виды работ '!C212</f>
        <v>0</v>
      </c>
    </row>
    <row r="216" spans="1:22" s="138" customFormat="1" ht="12.75" x14ac:dyDescent="0.2">
      <c r="A216" s="160">
        <f>A213+1</f>
        <v>132</v>
      </c>
      <c r="B216" s="5" t="s">
        <v>338</v>
      </c>
      <c r="C216" s="153">
        <v>1982</v>
      </c>
      <c r="D216" s="40"/>
      <c r="E216" s="152" t="s">
        <v>219</v>
      </c>
      <c r="F216" s="153">
        <v>5</v>
      </c>
      <c r="G216" s="153">
        <v>8</v>
      </c>
      <c r="H216" s="161">
        <v>9083.5</v>
      </c>
      <c r="I216" s="161">
        <v>6440.3</v>
      </c>
      <c r="J216" s="161">
        <v>4390.5</v>
      </c>
      <c r="K216" s="153">
        <v>295</v>
      </c>
      <c r="L216" s="161">
        <f>'виды работ '!C212</f>
        <v>2795378.76</v>
      </c>
      <c r="M216" s="159">
        <v>0</v>
      </c>
      <c r="N216" s="159">
        <v>0</v>
      </c>
      <c r="O216" s="159">
        <v>0</v>
      </c>
      <c r="P216" s="159">
        <f>L216</f>
        <v>2795378.76</v>
      </c>
      <c r="Q216" s="159">
        <f>L216/H216</f>
        <v>307.74247371607856</v>
      </c>
      <c r="R216" s="161">
        <v>14593.7</v>
      </c>
      <c r="S216" s="4" t="s">
        <v>279</v>
      </c>
      <c r="T216" s="152" t="s">
        <v>231</v>
      </c>
      <c r="U216" s="139"/>
      <c r="V216" s="139">
        <f>L217-'виды работ '!C213</f>
        <v>0</v>
      </c>
    </row>
    <row r="217" spans="1:22" s="138" customFormat="1" ht="12.75" x14ac:dyDescent="0.2">
      <c r="A217" s="160">
        <f>A216+1</f>
        <v>133</v>
      </c>
      <c r="B217" s="5" t="s">
        <v>339</v>
      </c>
      <c r="C217" s="153">
        <v>1968</v>
      </c>
      <c r="D217" s="40"/>
      <c r="E217" s="152" t="s">
        <v>219</v>
      </c>
      <c r="F217" s="153">
        <v>5</v>
      </c>
      <c r="G217" s="153">
        <v>4</v>
      </c>
      <c r="H217" s="152">
        <v>4362.45</v>
      </c>
      <c r="I217" s="161">
        <v>2562.11</v>
      </c>
      <c r="J217" s="161">
        <v>2033.86</v>
      </c>
      <c r="K217" s="153">
        <v>109</v>
      </c>
      <c r="L217" s="161">
        <f>'виды работ '!C213</f>
        <v>4843464.26</v>
      </c>
      <c r="M217" s="159">
        <v>0</v>
      </c>
      <c r="N217" s="159">
        <v>0</v>
      </c>
      <c r="O217" s="159">
        <v>0</v>
      </c>
      <c r="P217" s="159">
        <f>L217</f>
        <v>4843464.26</v>
      </c>
      <c r="Q217" s="159">
        <f>L217/H217</f>
        <v>1110.2624121766439</v>
      </c>
      <c r="R217" s="161">
        <v>14593.7</v>
      </c>
      <c r="S217" s="4" t="s">
        <v>279</v>
      </c>
      <c r="T217" s="152" t="s">
        <v>231</v>
      </c>
      <c r="U217" s="139"/>
      <c r="V217" s="139">
        <f>L218-'виды работ '!C214</f>
        <v>0</v>
      </c>
    </row>
    <row r="218" spans="1:22" s="138" customFormat="1" ht="12.75" x14ac:dyDescent="0.2">
      <c r="A218" s="160">
        <f>A217+1</f>
        <v>134</v>
      </c>
      <c r="B218" s="5" t="s">
        <v>340</v>
      </c>
      <c r="C218" s="153">
        <v>1969</v>
      </c>
      <c r="D218" s="40"/>
      <c r="E218" s="152" t="s">
        <v>219</v>
      </c>
      <c r="F218" s="153">
        <v>5</v>
      </c>
      <c r="G218" s="153">
        <v>4</v>
      </c>
      <c r="H218" s="152">
        <v>5234.9399999999996</v>
      </c>
      <c r="I218" s="161">
        <v>2621.16</v>
      </c>
      <c r="J218" s="161">
        <v>2392.42</v>
      </c>
      <c r="K218" s="153">
        <v>132</v>
      </c>
      <c r="L218" s="161">
        <f>'виды работ '!C214</f>
        <v>4703773.5999999996</v>
      </c>
      <c r="M218" s="159">
        <v>0</v>
      </c>
      <c r="N218" s="159">
        <v>0</v>
      </c>
      <c r="O218" s="159">
        <v>0</v>
      </c>
      <c r="P218" s="159">
        <f>L218</f>
        <v>4703773.5999999996</v>
      </c>
      <c r="Q218" s="159">
        <f>L218/H218</f>
        <v>898.53438625848628</v>
      </c>
      <c r="R218" s="161">
        <v>14593.7</v>
      </c>
      <c r="S218" s="4" t="s">
        <v>279</v>
      </c>
      <c r="T218" s="152" t="s">
        <v>231</v>
      </c>
      <c r="U218" s="139"/>
      <c r="V218" s="139">
        <f>L219-'виды работ '!C215</f>
        <v>0</v>
      </c>
    </row>
    <row r="219" spans="1:22" s="138" customFormat="1" ht="12.75" x14ac:dyDescent="0.2">
      <c r="A219" s="160">
        <f>A218+1</f>
        <v>135</v>
      </c>
      <c r="B219" s="5" t="s">
        <v>341</v>
      </c>
      <c r="C219" s="153">
        <v>1971</v>
      </c>
      <c r="D219" s="40"/>
      <c r="E219" s="152" t="s">
        <v>219</v>
      </c>
      <c r="F219" s="153">
        <v>5</v>
      </c>
      <c r="G219" s="153">
        <v>4</v>
      </c>
      <c r="H219" s="152">
        <v>4362.45</v>
      </c>
      <c r="I219" s="161">
        <v>3125.09</v>
      </c>
      <c r="J219" s="161">
        <v>2643.44</v>
      </c>
      <c r="K219" s="153">
        <v>109</v>
      </c>
      <c r="L219" s="161">
        <f>'виды работ '!C215</f>
        <v>4713296.4800000004</v>
      </c>
      <c r="M219" s="159">
        <v>0</v>
      </c>
      <c r="N219" s="159">
        <v>0</v>
      </c>
      <c r="O219" s="159">
        <v>0</v>
      </c>
      <c r="P219" s="159">
        <f>L219</f>
        <v>4713296.4800000004</v>
      </c>
      <c r="Q219" s="159">
        <f>L219/H219</f>
        <v>1080.4241836582655</v>
      </c>
      <c r="R219" s="161">
        <v>14593.7</v>
      </c>
      <c r="S219" s="4" t="s">
        <v>279</v>
      </c>
      <c r="T219" s="152" t="s">
        <v>231</v>
      </c>
      <c r="U219" s="139"/>
      <c r="V219" s="139">
        <f>L220-'виды работ '!C216</f>
        <v>0</v>
      </c>
    </row>
    <row r="220" spans="1:22" s="138" customFormat="1" ht="12.75" x14ac:dyDescent="0.2">
      <c r="A220" s="171" t="s">
        <v>18</v>
      </c>
      <c r="B220" s="171"/>
      <c r="C220" s="171"/>
      <c r="D220" s="159" t="s">
        <v>222</v>
      </c>
      <c r="E220" s="159" t="s">
        <v>222</v>
      </c>
      <c r="F220" s="159" t="s">
        <v>222</v>
      </c>
      <c r="G220" s="159" t="s">
        <v>222</v>
      </c>
      <c r="H220" s="161">
        <f t="shared" ref="H220:P220" si="63">SUM(H216:H219)</f>
        <v>23043.34</v>
      </c>
      <c r="I220" s="161">
        <f t="shared" si="63"/>
        <v>14748.66</v>
      </c>
      <c r="J220" s="161">
        <f t="shared" si="63"/>
        <v>11460.22</v>
      </c>
      <c r="K220" s="165">
        <f t="shared" si="63"/>
        <v>645</v>
      </c>
      <c r="L220" s="161">
        <f t="shared" si="63"/>
        <v>17055913.100000001</v>
      </c>
      <c r="M220" s="161">
        <f t="shared" si="63"/>
        <v>0</v>
      </c>
      <c r="N220" s="161">
        <f t="shared" si="63"/>
        <v>0</v>
      </c>
      <c r="O220" s="161">
        <f t="shared" si="63"/>
        <v>0</v>
      </c>
      <c r="P220" s="161">
        <f t="shared" si="63"/>
        <v>17055913.100000001</v>
      </c>
      <c r="Q220" s="159">
        <f>L220/H220</f>
        <v>740.16670760401928</v>
      </c>
      <c r="R220" s="11" t="s">
        <v>222</v>
      </c>
      <c r="S220" s="4" t="s">
        <v>222</v>
      </c>
      <c r="T220" s="152" t="s">
        <v>222</v>
      </c>
      <c r="U220" s="139"/>
      <c r="V220" s="139">
        <f>L221-'виды работ '!C217</f>
        <v>0</v>
      </c>
    </row>
    <row r="221" spans="1:22" s="138" customFormat="1" ht="15.75" customHeight="1" x14ac:dyDescent="0.2">
      <c r="A221" s="169" t="s">
        <v>48</v>
      </c>
      <c r="B221" s="169"/>
      <c r="C221" s="169"/>
      <c r="D221" s="169"/>
      <c r="E221" s="169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39"/>
      <c r="V221" s="139">
        <f>L222-'виды работ '!C218</f>
        <v>0</v>
      </c>
    </row>
    <row r="222" spans="1:22" s="138" customFormat="1" ht="15.75" customHeight="1" x14ac:dyDescent="0.2">
      <c r="A222" s="160">
        <f>A219+1</f>
        <v>136</v>
      </c>
      <c r="B222" s="39" t="s">
        <v>557</v>
      </c>
      <c r="C222" s="152">
        <v>1956</v>
      </c>
      <c r="D222" s="152"/>
      <c r="E222" s="152" t="s">
        <v>219</v>
      </c>
      <c r="F222" s="152">
        <v>2</v>
      </c>
      <c r="G222" s="152">
        <v>2</v>
      </c>
      <c r="H222" s="159">
        <v>373.4</v>
      </c>
      <c r="I222" s="159">
        <v>264.37</v>
      </c>
      <c r="J222" s="159">
        <v>54.1</v>
      </c>
      <c r="K222" s="160">
        <v>31</v>
      </c>
      <c r="L222" s="161">
        <f>'виды работ '!C218</f>
        <v>572304.97</v>
      </c>
      <c r="M222" s="159">
        <v>0</v>
      </c>
      <c r="N222" s="159">
        <v>0</v>
      </c>
      <c r="O222" s="159">
        <v>0</v>
      </c>
      <c r="P222" s="159">
        <f>L222</f>
        <v>572304.97</v>
      </c>
      <c r="Q222" s="159">
        <f>L222/H222</f>
        <v>1532.6860471344403</v>
      </c>
      <c r="R222" s="161">
        <v>14593.7</v>
      </c>
      <c r="S222" s="4" t="s">
        <v>279</v>
      </c>
      <c r="T222" s="152" t="s">
        <v>231</v>
      </c>
      <c r="U222" s="139"/>
      <c r="V222" s="139">
        <f>L223-'виды работ '!C219</f>
        <v>0</v>
      </c>
    </row>
    <row r="223" spans="1:22" s="138" customFormat="1" ht="12.75" x14ac:dyDescent="0.2">
      <c r="A223" s="160">
        <f>A222+1</f>
        <v>137</v>
      </c>
      <c r="B223" s="24" t="s">
        <v>342</v>
      </c>
      <c r="C223" s="152">
        <v>1964</v>
      </c>
      <c r="D223" s="152"/>
      <c r="E223" s="152" t="s">
        <v>346</v>
      </c>
      <c r="F223" s="152">
        <v>2</v>
      </c>
      <c r="G223" s="152">
        <v>2</v>
      </c>
      <c r="H223" s="152">
        <v>620.5</v>
      </c>
      <c r="I223" s="152">
        <v>620.5</v>
      </c>
      <c r="J223" s="152">
        <v>455.2</v>
      </c>
      <c r="K223" s="152">
        <v>26</v>
      </c>
      <c r="L223" s="159">
        <f>'виды работ '!C219</f>
        <v>509675.38</v>
      </c>
      <c r="M223" s="159">
        <v>0</v>
      </c>
      <c r="N223" s="159">
        <v>0</v>
      </c>
      <c r="O223" s="159">
        <v>0</v>
      </c>
      <c r="P223" s="159">
        <f>L223</f>
        <v>509675.38</v>
      </c>
      <c r="Q223" s="159">
        <f t="shared" ref="Q223:Q228" si="64">L223/H223</f>
        <v>821.39464947622889</v>
      </c>
      <c r="R223" s="161">
        <v>14593.7</v>
      </c>
      <c r="S223" s="4" t="s">
        <v>279</v>
      </c>
      <c r="T223" s="152" t="s">
        <v>231</v>
      </c>
      <c r="U223" s="126"/>
      <c r="V223" s="139">
        <f>L224-'виды работ '!C220</f>
        <v>0</v>
      </c>
    </row>
    <row r="224" spans="1:22" s="138" customFormat="1" ht="12.75" x14ac:dyDescent="0.2">
      <c r="A224" s="160">
        <f>A223+1</f>
        <v>138</v>
      </c>
      <c r="B224" s="24" t="s">
        <v>343</v>
      </c>
      <c r="C224" s="7">
        <v>1961</v>
      </c>
      <c r="D224" s="152"/>
      <c r="E224" s="152" t="s">
        <v>219</v>
      </c>
      <c r="F224" s="7">
        <v>2</v>
      </c>
      <c r="G224" s="7">
        <v>2</v>
      </c>
      <c r="H224" s="34">
        <v>461</v>
      </c>
      <c r="I224" s="34">
        <v>461</v>
      </c>
      <c r="J224" s="34">
        <v>217.5</v>
      </c>
      <c r="K224" s="7">
        <v>22</v>
      </c>
      <c r="L224" s="159">
        <f>'виды работ '!C220</f>
        <v>511145.98000000004</v>
      </c>
      <c r="M224" s="159">
        <v>0</v>
      </c>
      <c r="N224" s="159">
        <v>0</v>
      </c>
      <c r="O224" s="159">
        <v>0</v>
      </c>
      <c r="P224" s="159">
        <f>L224</f>
        <v>511145.98000000004</v>
      </c>
      <c r="Q224" s="159">
        <f>L224/H224</f>
        <v>1108.776529284165</v>
      </c>
      <c r="R224" s="161">
        <v>14593.7</v>
      </c>
      <c r="S224" s="4" t="s">
        <v>279</v>
      </c>
      <c r="T224" s="152" t="s">
        <v>231</v>
      </c>
      <c r="U224" s="126"/>
      <c r="V224" s="139">
        <f>L225-'виды работ '!C221</f>
        <v>0</v>
      </c>
    </row>
    <row r="225" spans="1:22" s="138" customFormat="1" ht="12.75" x14ac:dyDescent="0.2">
      <c r="A225" s="160">
        <f>A224+1</f>
        <v>139</v>
      </c>
      <c r="B225" s="24" t="s">
        <v>344</v>
      </c>
      <c r="C225" s="7">
        <v>1972</v>
      </c>
      <c r="D225" s="152"/>
      <c r="E225" s="152" t="s">
        <v>223</v>
      </c>
      <c r="F225" s="7">
        <v>5</v>
      </c>
      <c r="G225" s="7">
        <v>4</v>
      </c>
      <c r="H225" s="15">
        <v>2712.2</v>
      </c>
      <c r="I225" s="34">
        <v>2695.62</v>
      </c>
      <c r="J225" s="15">
        <v>1872.45</v>
      </c>
      <c r="K225" s="7">
        <v>151</v>
      </c>
      <c r="L225" s="159">
        <f>'виды работ '!C221</f>
        <v>1996285.3599999999</v>
      </c>
      <c r="M225" s="159">
        <v>0</v>
      </c>
      <c r="N225" s="159">
        <v>0</v>
      </c>
      <c r="O225" s="159">
        <v>0</v>
      </c>
      <c r="P225" s="159">
        <f>L225</f>
        <v>1996285.3599999999</v>
      </c>
      <c r="Q225" s="159">
        <f t="shared" si="64"/>
        <v>736.03914165622007</v>
      </c>
      <c r="R225" s="161">
        <v>14593.7</v>
      </c>
      <c r="S225" s="4" t="s">
        <v>279</v>
      </c>
      <c r="T225" s="152" t="s">
        <v>231</v>
      </c>
      <c r="U225" s="126"/>
      <c r="V225" s="139">
        <f>L226-'виды работ '!C222</f>
        <v>0</v>
      </c>
    </row>
    <row r="226" spans="1:22" s="138" customFormat="1" ht="12.75" x14ac:dyDescent="0.2">
      <c r="A226" s="160">
        <f>A225+1</f>
        <v>140</v>
      </c>
      <c r="B226" s="24" t="s">
        <v>345</v>
      </c>
      <c r="C226" s="7">
        <v>1972</v>
      </c>
      <c r="D226" s="152"/>
      <c r="E226" s="152" t="s">
        <v>223</v>
      </c>
      <c r="F226" s="7">
        <v>5</v>
      </c>
      <c r="G226" s="7">
        <v>4</v>
      </c>
      <c r="H226" s="15">
        <v>2712.2</v>
      </c>
      <c r="I226" s="34">
        <v>2695.62</v>
      </c>
      <c r="J226" s="34">
        <v>1864.82</v>
      </c>
      <c r="K226" s="7">
        <v>157</v>
      </c>
      <c r="L226" s="159">
        <f>'виды работ '!C222</f>
        <v>1996285.3599999999</v>
      </c>
      <c r="M226" s="159">
        <v>0</v>
      </c>
      <c r="N226" s="159">
        <v>0</v>
      </c>
      <c r="O226" s="159">
        <v>0</v>
      </c>
      <c r="P226" s="159">
        <f>L226</f>
        <v>1996285.3599999999</v>
      </c>
      <c r="Q226" s="159">
        <f t="shared" si="64"/>
        <v>736.03914165622007</v>
      </c>
      <c r="R226" s="161">
        <v>14593.7</v>
      </c>
      <c r="S226" s="4" t="s">
        <v>279</v>
      </c>
      <c r="T226" s="152" t="s">
        <v>231</v>
      </c>
      <c r="U226" s="126"/>
      <c r="V226" s="139">
        <f>L227-'виды работ '!C223</f>
        <v>0</v>
      </c>
    </row>
    <row r="227" spans="1:22" s="138" customFormat="1" ht="12.75" x14ac:dyDescent="0.2">
      <c r="A227" s="171" t="s">
        <v>18</v>
      </c>
      <c r="B227" s="171"/>
      <c r="C227" s="171"/>
      <c r="D227" s="159" t="s">
        <v>222</v>
      </c>
      <c r="E227" s="159" t="s">
        <v>222</v>
      </c>
      <c r="F227" s="159" t="s">
        <v>222</v>
      </c>
      <c r="G227" s="159" t="s">
        <v>222</v>
      </c>
      <c r="H227" s="159">
        <f t="shared" ref="H227:P227" si="65">SUM(H222:H226)</f>
        <v>6879.3</v>
      </c>
      <c r="I227" s="159">
        <f t="shared" si="65"/>
        <v>6737.11</v>
      </c>
      <c r="J227" s="159">
        <f t="shared" si="65"/>
        <v>4464.07</v>
      </c>
      <c r="K227" s="160">
        <f t="shared" si="65"/>
        <v>387</v>
      </c>
      <c r="L227" s="159">
        <f t="shared" si="65"/>
        <v>5585697.0499999998</v>
      </c>
      <c r="M227" s="159">
        <f t="shared" si="65"/>
        <v>0</v>
      </c>
      <c r="N227" s="159">
        <f t="shared" si="65"/>
        <v>0</v>
      </c>
      <c r="O227" s="159">
        <f t="shared" si="65"/>
        <v>0</v>
      </c>
      <c r="P227" s="159">
        <f t="shared" si="65"/>
        <v>5585697.0499999998</v>
      </c>
      <c r="Q227" s="159">
        <f t="shared" si="64"/>
        <v>811.95718314363376</v>
      </c>
      <c r="R227" s="11" t="s">
        <v>222</v>
      </c>
      <c r="S227" s="4" t="s">
        <v>222</v>
      </c>
      <c r="T227" s="4" t="s">
        <v>222</v>
      </c>
      <c r="U227" s="139"/>
      <c r="V227" s="139">
        <f>L228-'виды работ '!C224</f>
        <v>0</v>
      </c>
    </row>
    <row r="228" spans="1:22" s="230" customFormat="1" ht="12.75" x14ac:dyDescent="0.2">
      <c r="A228" s="169" t="s">
        <v>49</v>
      </c>
      <c r="B228" s="169"/>
      <c r="C228" s="169"/>
      <c r="D228" s="158" t="s">
        <v>222</v>
      </c>
      <c r="E228" s="158" t="s">
        <v>222</v>
      </c>
      <c r="F228" s="158" t="s">
        <v>222</v>
      </c>
      <c r="G228" s="158" t="s">
        <v>222</v>
      </c>
      <c r="H228" s="166">
        <f t="shared" ref="H228:P228" si="66">H227+H211+H207+H195+H220+H214</f>
        <v>78650.289999999994</v>
      </c>
      <c r="I228" s="166">
        <f t="shared" si="66"/>
        <v>62992.83</v>
      </c>
      <c r="J228" s="166">
        <f t="shared" si="66"/>
        <v>48238.020000000004</v>
      </c>
      <c r="K228" s="16">
        <f t="shared" si="66"/>
        <v>2934</v>
      </c>
      <c r="L228" s="166">
        <f t="shared" si="66"/>
        <v>55484664.930000007</v>
      </c>
      <c r="M228" s="166">
        <f t="shared" si="66"/>
        <v>0</v>
      </c>
      <c r="N228" s="166">
        <f t="shared" si="66"/>
        <v>0</v>
      </c>
      <c r="O228" s="166">
        <f t="shared" si="66"/>
        <v>0</v>
      </c>
      <c r="P228" s="166">
        <f t="shared" si="66"/>
        <v>55484664.930000007</v>
      </c>
      <c r="Q228" s="158">
        <f t="shared" si="64"/>
        <v>705.46039855669972</v>
      </c>
      <c r="R228" s="17" t="s">
        <v>222</v>
      </c>
      <c r="S228" s="18" t="s">
        <v>222</v>
      </c>
      <c r="T228" s="18" t="s">
        <v>222</v>
      </c>
      <c r="U228" s="166"/>
      <c r="V228" s="139">
        <f>L229-'виды работ '!C225</f>
        <v>0</v>
      </c>
    </row>
    <row r="229" spans="1:22" s="138" customFormat="1" ht="15" customHeight="1" x14ac:dyDescent="0.2">
      <c r="A229" s="180" t="s">
        <v>229</v>
      </c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39"/>
      <c r="V229" s="139">
        <f>L230-'виды работ '!C226</f>
        <v>0</v>
      </c>
    </row>
    <row r="230" spans="1:22" s="138" customFormat="1" ht="15.75" customHeight="1" x14ac:dyDescent="0.2">
      <c r="A230" s="169" t="s">
        <v>143</v>
      </c>
      <c r="B230" s="169"/>
      <c r="C230" s="169"/>
      <c r="D230" s="169"/>
      <c r="E230" s="169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39"/>
      <c r="V230" s="139">
        <f>L231-'виды работ '!C227</f>
        <v>0</v>
      </c>
    </row>
    <row r="231" spans="1:22" s="138" customFormat="1" ht="15.75" customHeight="1" x14ac:dyDescent="0.2">
      <c r="A231" s="160">
        <f>A226+1</f>
        <v>141</v>
      </c>
      <c r="B231" s="155" t="s">
        <v>559</v>
      </c>
      <c r="C231" s="13">
        <v>1941</v>
      </c>
      <c r="D231" s="13"/>
      <c r="E231" s="152" t="s">
        <v>219</v>
      </c>
      <c r="F231" s="13">
        <v>4</v>
      </c>
      <c r="G231" s="13">
        <v>3</v>
      </c>
      <c r="H231" s="159">
        <v>2167.14</v>
      </c>
      <c r="I231" s="159">
        <v>1715.83</v>
      </c>
      <c r="J231" s="159">
        <v>1546.6</v>
      </c>
      <c r="K231" s="160">
        <v>10</v>
      </c>
      <c r="L231" s="159">
        <f>'виды работ '!C227</f>
        <v>9277017.8599999994</v>
      </c>
      <c r="M231" s="159">
        <v>0</v>
      </c>
      <c r="N231" s="159">
        <v>0</v>
      </c>
      <c r="O231" s="159">
        <v>0</v>
      </c>
      <c r="P231" s="159">
        <f t="shared" ref="P231:P239" si="67">L231</f>
        <v>9277017.8599999994</v>
      </c>
      <c r="Q231" s="159">
        <f>L231/H231</f>
        <v>4280.7653681811053</v>
      </c>
      <c r="R231" s="161">
        <v>14593.7</v>
      </c>
      <c r="S231" s="4" t="s">
        <v>279</v>
      </c>
      <c r="T231" s="152" t="s">
        <v>231</v>
      </c>
      <c r="U231" s="139"/>
      <c r="V231" s="139">
        <f>L232-'виды работ '!C228</f>
        <v>0</v>
      </c>
    </row>
    <row r="232" spans="1:22" s="138" customFormat="1" ht="15.75" customHeight="1" x14ac:dyDescent="0.2">
      <c r="A232" s="160">
        <f>A231+1</f>
        <v>142</v>
      </c>
      <c r="B232" s="155" t="s">
        <v>560</v>
      </c>
      <c r="C232" s="13">
        <v>1941</v>
      </c>
      <c r="D232" s="41"/>
      <c r="E232" s="152" t="s">
        <v>219</v>
      </c>
      <c r="F232" s="13">
        <v>4</v>
      </c>
      <c r="G232" s="13">
        <v>3</v>
      </c>
      <c r="H232" s="159">
        <v>2180.27</v>
      </c>
      <c r="I232" s="159">
        <v>1790.7</v>
      </c>
      <c r="J232" s="159">
        <v>1659.26</v>
      </c>
      <c r="K232" s="160">
        <v>90</v>
      </c>
      <c r="L232" s="159">
        <f>'виды работ '!C228</f>
        <v>11286113.539999999</v>
      </c>
      <c r="M232" s="159">
        <v>0</v>
      </c>
      <c r="N232" s="159">
        <v>0</v>
      </c>
      <c r="O232" s="159">
        <v>0</v>
      </c>
      <c r="P232" s="159">
        <f t="shared" si="67"/>
        <v>11286113.539999999</v>
      </c>
      <c r="Q232" s="159">
        <f>L232/H232</f>
        <v>5176.4751796795808</v>
      </c>
      <c r="R232" s="161">
        <v>14593.7</v>
      </c>
      <c r="S232" s="4" t="s">
        <v>279</v>
      </c>
      <c r="T232" s="152" t="s">
        <v>231</v>
      </c>
      <c r="U232" s="139"/>
      <c r="V232" s="139">
        <f>L233-'виды работ '!C229</f>
        <v>0</v>
      </c>
    </row>
    <row r="233" spans="1:22" s="138" customFormat="1" ht="15.75" customHeight="1" x14ac:dyDescent="0.2">
      <c r="A233" s="160">
        <f t="shared" ref="A233:A259" si="68">A232+1</f>
        <v>143</v>
      </c>
      <c r="B233" s="155" t="s">
        <v>561</v>
      </c>
      <c r="C233" s="13">
        <v>1941</v>
      </c>
      <c r="D233" s="41"/>
      <c r="E233" s="152" t="s">
        <v>219</v>
      </c>
      <c r="F233" s="13">
        <v>4</v>
      </c>
      <c r="G233" s="13">
        <v>3</v>
      </c>
      <c r="H233" s="159">
        <v>2238.29</v>
      </c>
      <c r="I233" s="159">
        <v>1746.24</v>
      </c>
      <c r="J233" s="159">
        <v>1631.39</v>
      </c>
      <c r="K233" s="160">
        <v>92</v>
      </c>
      <c r="L233" s="159">
        <f>'виды работ '!C229</f>
        <v>11123878.970000001</v>
      </c>
      <c r="M233" s="159">
        <v>0</v>
      </c>
      <c r="N233" s="159">
        <v>0</v>
      </c>
      <c r="O233" s="159">
        <v>0</v>
      </c>
      <c r="P233" s="159">
        <f t="shared" si="67"/>
        <v>11123878.970000001</v>
      </c>
      <c r="Q233" s="159">
        <f>L233/H233</f>
        <v>4969.811315781244</v>
      </c>
      <c r="R233" s="161">
        <v>14593.7</v>
      </c>
      <c r="S233" s="4" t="s">
        <v>279</v>
      </c>
      <c r="T233" s="152" t="s">
        <v>231</v>
      </c>
      <c r="U233" s="139"/>
      <c r="V233" s="139">
        <f>L235-'виды работ '!C231</f>
        <v>0</v>
      </c>
    </row>
    <row r="234" spans="1:22" s="138" customFormat="1" ht="15.75" customHeight="1" x14ac:dyDescent="0.2">
      <c r="A234" s="160">
        <f t="shared" si="68"/>
        <v>144</v>
      </c>
      <c r="B234" s="5" t="s">
        <v>606</v>
      </c>
      <c r="C234" s="12">
        <v>1988</v>
      </c>
      <c r="D234" s="161"/>
      <c r="E234" s="152" t="s">
        <v>219</v>
      </c>
      <c r="F234" s="160">
        <v>6</v>
      </c>
      <c r="G234" s="160">
        <v>3</v>
      </c>
      <c r="H234" s="159">
        <v>8384.7000000000007</v>
      </c>
      <c r="I234" s="159">
        <v>8384.7000000000007</v>
      </c>
      <c r="J234" s="159">
        <v>5523.9</v>
      </c>
      <c r="K234" s="160">
        <v>199</v>
      </c>
      <c r="L234" s="159">
        <f>'виды работ '!C230</f>
        <v>1528107.08</v>
      </c>
      <c r="M234" s="159">
        <v>0</v>
      </c>
      <c r="N234" s="43">
        <v>0</v>
      </c>
      <c r="O234" s="43">
        <v>0</v>
      </c>
      <c r="P234" s="159">
        <f t="shared" si="67"/>
        <v>1528107.08</v>
      </c>
      <c r="Q234" s="159">
        <f>L234/H234</f>
        <v>182.2494639044927</v>
      </c>
      <c r="R234" s="161">
        <v>14593.7</v>
      </c>
      <c r="S234" s="161" t="s">
        <v>279</v>
      </c>
      <c r="T234" s="159" t="s">
        <v>605</v>
      </c>
      <c r="U234" s="139">
        <f>N234+O234+P234</f>
        <v>1528107.08</v>
      </c>
      <c r="V234" s="139">
        <f>U234-L234</f>
        <v>0</v>
      </c>
    </row>
    <row r="235" spans="1:22" s="138" customFormat="1" ht="12.75" x14ac:dyDescent="0.2">
      <c r="A235" s="160">
        <f t="shared" si="68"/>
        <v>145</v>
      </c>
      <c r="B235" s="5" t="s">
        <v>268</v>
      </c>
      <c r="C235" s="7">
        <v>1968</v>
      </c>
      <c r="D235" s="42"/>
      <c r="E235" s="152" t="s">
        <v>219</v>
      </c>
      <c r="F235" s="160">
        <v>5</v>
      </c>
      <c r="G235" s="31">
        <v>4</v>
      </c>
      <c r="H235" s="43">
        <v>3447.25</v>
      </c>
      <c r="I235" s="43">
        <v>3447.25</v>
      </c>
      <c r="J235" s="159">
        <v>2719.25</v>
      </c>
      <c r="K235" s="160">
        <v>148</v>
      </c>
      <c r="L235" s="159">
        <f>'виды работ '!C231</f>
        <v>1939959.67</v>
      </c>
      <c r="M235" s="159">
        <v>0</v>
      </c>
      <c r="N235" s="159">
        <v>0</v>
      </c>
      <c r="O235" s="159">
        <v>0</v>
      </c>
      <c r="P235" s="159">
        <f t="shared" si="67"/>
        <v>1939959.67</v>
      </c>
      <c r="Q235" s="159">
        <f t="shared" ref="Q235:Q259" si="69">L235/H235</f>
        <v>562.75572412792803</v>
      </c>
      <c r="R235" s="161">
        <v>14593.7</v>
      </c>
      <c r="S235" s="4" t="s">
        <v>279</v>
      </c>
      <c r="T235" s="152" t="s">
        <v>231</v>
      </c>
      <c r="U235" s="139"/>
      <c r="V235" s="139">
        <f>L236-'виды работ '!C232</f>
        <v>0</v>
      </c>
    </row>
    <row r="236" spans="1:22" s="138" customFormat="1" ht="12.75" x14ac:dyDescent="0.2">
      <c r="A236" s="160">
        <f t="shared" si="68"/>
        <v>146</v>
      </c>
      <c r="B236" s="5" t="s">
        <v>269</v>
      </c>
      <c r="C236" s="7">
        <v>1968</v>
      </c>
      <c r="D236" s="42"/>
      <c r="E236" s="152" t="s">
        <v>223</v>
      </c>
      <c r="F236" s="10">
        <v>5</v>
      </c>
      <c r="G236" s="160">
        <v>4</v>
      </c>
      <c r="H236" s="43">
        <v>3487.36</v>
      </c>
      <c r="I236" s="43">
        <v>3487.36</v>
      </c>
      <c r="J236" s="159">
        <v>2759.36</v>
      </c>
      <c r="K236" s="160">
        <v>150</v>
      </c>
      <c r="L236" s="159">
        <f>'виды работ '!C232</f>
        <v>1134711.1299999999</v>
      </c>
      <c r="M236" s="159">
        <v>0</v>
      </c>
      <c r="N236" s="159">
        <v>0</v>
      </c>
      <c r="O236" s="159">
        <v>0</v>
      </c>
      <c r="P236" s="159">
        <f t="shared" si="67"/>
        <v>1134711.1299999999</v>
      </c>
      <c r="Q236" s="159">
        <f t="shared" si="69"/>
        <v>325.37826034593502</v>
      </c>
      <c r="R236" s="161">
        <v>14593.7</v>
      </c>
      <c r="S236" s="4" t="s">
        <v>279</v>
      </c>
      <c r="T236" s="152" t="s">
        <v>231</v>
      </c>
      <c r="U236" s="139"/>
      <c r="V236" s="139">
        <f>L237-'виды работ '!C233</f>
        <v>0</v>
      </c>
    </row>
    <row r="237" spans="1:22" s="138" customFormat="1" ht="12.75" x14ac:dyDescent="0.2">
      <c r="A237" s="160">
        <f t="shared" si="68"/>
        <v>147</v>
      </c>
      <c r="B237" s="5" t="s">
        <v>270</v>
      </c>
      <c r="C237" s="7">
        <v>1967</v>
      </c>
      <c r="D237" s="13"/>
      <c r="E237" s="152" t="s">
        <v>223</v>
      </c>
      <c r="F237" s="10">
        <v>5</v>
      </c>
      <c r="G237" s="160">
        <v>4</v>
      </c>
      <c r="H237" s="43">
        <v>3493</v>
      </c>
      <c r="I237" s="43">
        <v>3493</v>
      </c>
      <c r="J237" s="159">
        <v>2765</v>
      </c>
      <c r="K237" s="160">
        <v>149</v>
      </c>
      <c r="L237" s="15">
        <f>'виды работ '!C233</f>
        <v>1134711.1299999999</v>
      </c>
      <c r="M237" s="159">
        <v>0</v>
      </c>
      <c r="N237" s="159">
        <v>0</v>
      </c>
      <c r="O237" s="159">
        <v>0</v>
      </c>
      <c r="P237" s="159">
        <f t="shared" si="67"/>
        <v>1134711.1299999999</v>
      </c>
      <c r="Q237" s="159">
        <f t="shared" si="69"/>
        <v>324.85288577154307</v>
      </c>
      <c r="R237" s="161">
        <v>14593.7</v>
      </c>
      <c r="S237" s="4" t="s">
        <v>279</v>
      </c>
      <c r="T237" s="152" t="s">
        <v>231</v>
      </c>
      <c r="U237" s="139"/>
      <c r="V237" s="139">
        <f>L238-'виды работ '!C234</f>
        <v>0</v>
      </c>
    </row>
    <row r="238" spans="1:22" s="138" customFormat="1" ht="12.75" x14ac:dyDescent="0.2">
      <c r="A238" s="160">
        <f t="shared" si="68"/>
        <v>148</v>
      </c>
      <c r="B238" s="5" t="s">
        <v>271</v>
      </c>
      <c r="C238" s="7">
        <v>1968</v>
      </c>
      <c r="D238" s="44"/>
      <c r="E238" s="152" t="s">
        <v>223</v>
      </c>
      <c r="F238" s="10">
        <v>5</v>
      </c>
      <c r="G238" s="152">
        <v>4</v>
      </c>
      <c r="H238" s="43">
        <v>3572.07</v>
      </c>
      <c r="I238" s="43">
        <v>3572.07</v>
      </c>
      <c r="J238" s="159">
        <v>2844.07</v>
      </c>
      <c r="K238" s="160">
        <v>161</v>
      </c>
      <c r="L238" s="159">
        <f>'виды работ '!C234</f>
        <v>1150766.73</v>
      </c>
      <c r="M238" s="159">
        <v>0</v>
      </c>
      <c r="N238" s="159">
        <v>0</v>
      </c>
      <c r="O238" s="159">
        <v>0</v>
      </c>
      <c r="P238" s="159">
        <f t="shared" si="67"/>
        <v>1150766.73</v>
      </c>
      <c r="Q238" s="159">
        <f t="shared" si="69"/>
        <v>322.15682503422386</v>
      </c>
      <c r="R238" s="161">
        <v>14593.7</v>
      </c>
      <c r="S238" s="4" t="s">
        <v>279</v>
      </c>
      <c r="T238" s="152" t="s">
        <v>231</v>
      </c>
      <c r="U238" s="139"/>
      <c r="V238" s="139">
        <f>L239-'виды работ '!C235</f>
        <v>0</v>
      </c>
    </row>
    <row r="239" spans="1:22" s="138" customFormat="1" ht="12.75" x14ac:dyDescent="0.2">
      <c r="A239" s="160">
        <f t="shared" si="68"/>
        <v>149</v>
      </c>
      <c r="B239" s="5" t="s">
        <v>272</v>
      </c>
      <c r="C239" s="7">
        <v>1971</v>
      </c>
      <c r="D239" s="44"/>
      <c r="E239" s="152" t="s">
        <v>223</v>
      </c>
      <c r="F239" s="152">
        <v>5</v>
      </c>
      <c r="G239" s="152">
        <v>3</v>
      </c>
      <c r="H239" s="43">
        <v>2325.15</v>
      </c>
      <c r="I239" s="43">
        <v>2325.15</v>
      </c>
      <c r="J239" s="159">
        <v>1597.15</v>
      </c>
      <c r="K239" s="160">
        <v>120</v>
      </c>
      <c r="L239" s="159">
        <f>'виды работ '!C235</f>
        <v>1905339.29</v>
      </c>
      <c r="M239" s="159">
        <v>0</v>
      </c>
      <c r="N239" s="159">
        <v>0</v>
      </c>
      <c r="O239" s="159">
        <v>0</v>
      </c>
      <c r="P239" s="159">
        <f t="shared" si="67"/>
        <v>1905339.29</v>
      </c>
      <c r="Q239" s="159">
        <f t="shared" si="69"/>
        <v>819.44790228587397</v>
      </c>
      <c r="R239" s="161">
        <v>14593.7</v>
      </c>
      <c r="S239" s="4" t="s">
        <v>279</v>
      </c>
      <c r="T239" s="152" t="s">
        <v>231</v>
      </c>
      <c r="U239" s="139"/>
      <c r="V239" s="139">
        <f>L240-'виды работ '!C236</f>
        <v>0</v>
      </c>
    </row>
    <row r="240" spans="1:22" s="138" customFormat="1" ht="12.75" x14ac:dyDescent="0.2">
      <c r="A240" s="160">
        <f t="shared" si="68"/>
        <v>150</v>
      </c>
      <c r="B240" s="5" t="s">
        <v>144</v>
      </c>
      <c r="C240" s="7">
        <v>1964</v>
      </c>
      <c r="D240" s="153"/>
      <c r="E240" s="152" t="s">
        <v>219</v>
      </c>
      <c r="F240" s="12">
        <v>4</v>
      </c>
      <c r="G240" s="12">
        <v>3</v>
      </c>
      <c r="H240" s="43">
        <v>1992.17</v>
      </c>
      <c r="I240" s="43">
        <v>1992.17</v>
      </c>
      <c r="J240" s="161">
        <v>1264.17</v>
      </c>
      <c r="K240" s="160">
        <v>91</v>
      </c>
      <c r="L240" s="159">
        <f>'виды работ '!C236</f>
        <v>1455871.4300000002</v>
      </c>
      <c r="M240" s="159">
        <v>0</v>
      </c>
      <c r="N240" s="159">
        <v>0</v>
      </c>
      <c r="O240" s="159">
        <v>0</v>
      </c>
      <c r="P240" s="159">
        <f t="shared" ref="P240:P257" si="70">L240</f>
        <v>1455871.4300000002</v>
      </c>
      <c r="Q240" s="159">
        <f t="shared" si="69"/>
        <v>730.79678441096905</v>
      </c>
      <c r="R240" s="161">
        <v>14593.7</v>
      </c>
      <c r="S240" s="4" t="s">
        <v>279</v>
      </c>
      <c r="T240" s="152" t="s">
        <v>231</v>
      </c>
      <c r="U240" s="139"/>
      <c r="V240" s="139">
        <f>L241-'виды работ '!C237</f>
        <v>0</v>
      </c>
    </row>
    <row r="241" spans="1:22" s="138" customFormat="1" ht="12.75" x14ac:dyDescent="0.2">
      <c r="A241" s="160">
        <f t="shared" si="68"/>
        <v>151</v>
      </c>
      <c r="B241" s="5" t="s">
        <v>145</v>
      </c>
      <c r="C241" s="9">
        <v>1917</v>
      </c>
      <c r="D241" s="45"/>
      <c r="E241" s="152" t="s">
        <v>255</v>
      </c>
      <c r="F241" s="160">
        <v>2</v>
      </c>
      <c r="G241" s="160">
        <v>2</v>
      </c>
      <c r="H241" s="46">
        <v>180.1</v>
      </c>
      <c r="I241" s="46">
        <v>180.1</v>
      </c>
      <c r="J241" s="159">
        <v>160</v>
      </c>
      <c r="K241" s="160">
        <v>12</v>
      </c>
      <c r="L241" s="159">
        <f>'виды работ '!C237</f>
        <v>271910.61</v>
      </c>
      <c r="M241" s="159">
        <v>0</v>
      </c>
      <c r="N241" s="159">
        <v>0</v>
      </c>
      <c r="O241" s="159">
        <v>0</v>
      </c>
      <c r="P241" s="159">
        <f t="shared" si="70"/>
        <v>271910.61</v>
      </c>
      <c r="Q241" s="159">
        <f t="shared" si="69"/>
        <v>1509.7757357023875</v>
      </c>
      <c r="R241" s="161">
        <v>14593.7</v>
      </c>
      <c r="S241" s="4" t="s">
        <v>279</v>
      </c>
      <c r="T241" s="152" t="s">
        <v>231</v>
      </c>
      <c r="U241" s="139"/>
      <c r="V241" s="139">
        <f>L242-'виды работ '!C238</f>
        <v>0</v>
      </c>
    </row>
    <row r="242" spans="1:22" s="138" customFormat="1" ht="12.75" x14ac:dyDescent="0.2">
      <c r="A242" s="160">
        <f t="shared" si="68"/>
        <v>152</v>
      </c>
      <c r="B242" s="5" t="s">
        <v>146</v>
      </c>
      <c r="C242" s="7">
        <v>1960</v>
      </c>
      <c r="D242" s="159"/>
      <c r="E242" s="152" t="s">
        <v>219</v>
      </c>
      <c r="F242" s="160">
        <v>3</v>
      </c>
      <c r="G242" s="160">
        <v>3</v>
      </c>
      <c r="H242" s="43">
        <v>1525.29</v>
      </c>
      <c r="I242" s="43">
        <v>1525.29</v>
      </c>
      <c r="J242" s="159">
        <v>797.29</v>
      </c>
      <c r="K242" s="160">
        <v>57</v>
      </c>
      <c r="L242" s="159">
        <f>'виды работ '!C238</f>
        <v>560940.31000000006</v>
      </c>
      <c r="M242" s="159">
        <v>0</v>
      </c>
      <c r="N242" s="159">
        <v>0</v>
      </c>
      <c r="O242" s="159">
        <v>0</v>
      </c>
      <c r="P242" s="159">
        <f t="shared" si="70"/>
        <v>560940.31000000006</v>
      </c>
      <c r="Q242" s="159">
        <f t="shared" si="69"/>
        <v>367.75977682932432</v>
      </c>
      <c r="R242" s="161">
        <v>14593.7</v>
      </c>
      <c r="S242" s="4" t="s">
        <v>279</v>
      </c>
      <c r="T242" s="152" t="s">
        <v>231</v>
      </c>
      <c r="U242" s="139"/>
      <c r="V242" s="139">
        <f>L244-'виды работ '!C240</f>
        <v>0</v>
      </c>
    </row>
    <row r="243" spans="1:22" s="138" customFormat="1" ht="12.75" x14ac:dyDescent="0.2">
      <c r="A243" s="160">
        <f t="shared" si="68"/>
        <v>153</v>
      </c>
      <c r="B243" s="5" t="s">
        <v>608</v>
      </c>
      <c r="C243" s="7">
        <v>1961</v>
      </c>
      <c r="D243" s="44"/>
      <c r="E243" s="152" t="s">
        <v>223</v>
      </c>
      <c r="F243" s="152">
        <v>4</v>
      </c>
      <c r="G243" s="152">
        <v>5</v>
      </c>
      <c r="H243" s="43">
        <v>3302.23</v>
      </c>
      <c r="I243" s="43">
        <v>3302.23</v>
      </c>
      <c r="J243" s="159">
        <v>2574.23</v>
      </c>
      <c r="K243" s="160">
        <v>109</v>
      </c>
      <c r="L243" s="159">
        <f>'виды работ '!C239</f>
        <v>2389861.9300000002</v>
      </c>
      <c r="M243" s="159">
        <v>0</v>
      </c>
      <c r="N243" s="159">
        <v>0</v>
      </c>
      <c r="O243" s="159">
        <v>0</v>
      </c>
      <c r="P243" s="159">
        <v>4714939.93</v>
      </c>
      <c r="Q243" s="159">
        <v>1427.8048258298179</v>
      </c>
      <c r="R243" s="161">
        <v>14593.7</v>
      </c>
      <c r="S243" s="4" t="s">
        <v>279</v>
      </c>
      <c r="T243" s="152" t="s">
        <v>231</v>
      </c>
      <c r="U243" s="139"/>
      <c r="V243" s="139"/>
    </row>
    <row r="244" spans="1:22" s="138" customFormat="1" ht="12.75" x14ac:dyDescent="0.2">
      <c r="A244" s="160">
        <f t="shared" si="68"/>
        <v>154</v>
      </c>
      <c r="B244" s="5" t="s">
        <v>147</v>
      </c>
      <c r="C244" s="7">
        <v>1968</v>
      </c>
      <c r="D244" s="45"/>
      <c r="E244" s="152" t="s">
        <v>223</v>
      </c>
      <c r="F244" s="160">
        <v>5</v>
      </c>
      <c r="G244" s="160">
        <v>4</v>
      </c>
      <c r="H244" s="43">
        <v>3499.34</v>
      </c>
      <c r="I244" s="43">
        <v>3499.34</v>
      </c>
      <c r="J244" s="159">
        <v>2771.34</v>
      </c>
      <c r="K244" s="160">
        <v>124</v>
      </c>
      <c r="L244" s="159">
        <f>'виды работ '!C240</f>
        <v>1843401.69</v>
      </c>
      <c r="M244" s="159">
        <v>0</v>
      </c>
      <c r="N244" s="159">
        <v>0</v>
      </c>
      <c r="O244" s="159">
        <v>0</v>
      </c>
      <c r="P244" s="159">
        <f t="shared" si="70"/>
        <v>1843401.69</v>
      </c>
      <c r="Q244" s="159">
        <f t="shared" si="69"/>
        <v>526.78553384352472</v>
      </c>
      <c r="R244" s="161">
        <v>14593.7</v>
      </c>
      <c r="S244" s="4" t="s">
        <v>279</v>
      </c>
      <c r="T244" s="152" t="s">
        <v>231</v>
      </c>
      <c r="U244" s="139"/>
      <c r="V244" s="139">
        <f>L245-'виды работ '!C241</f>
        <v>0</v>
      </c>
    </row>
    <row r="245" spans="1:22" s="138" customFormat="1" ht="12.75" x14ac:dyDescent="0.2">
      <c r="A245" s="160">
        <f t="shared" si="68"/>
        <v>155</v>
      </c>
      <c r="B245" s="5" t="s">
        <v>190</v>
      </c>
      <c r="C245" s="7">
        <v>1964</v>
      </c>
      <c r="D245" s="45"/>
      <c r="E245" s="152" t="s">
        <v>219</v>
      </c>
      <c r="F245" s="160">
        <v>2</v>
      </c>
      <c r="G245" s="160">
        <v>2</v>
      </c>
      <c r="H245" s="43">
        <v>728.4</v>
      </c>
      <c r="I245" s="43">
        <v>728.4</v>
      </c>
      <c r="J245" s="159">
        <v>610</v>
      </c>
      <c r="K245" s="160">
        <v>29</v>
      </c>
      <c r="L245" s="159">
        <f>'виды работ '!C241</f>
        <v>561566.32999999996</v>
      </c>
      <c r="M245" s="159">
        <v>0</v>
      </c>
      <c r="N245" s="159">
        <v>0</v>
      </c>
      <c r="O245" s="159">
        <v>0</v>
      </c>
      <c r="P245" s="159">
        <f t="shared" si="70"/>
        <v>561566.32999999996</v>
      </c>
      <c r="Q245" s="159">
        <f t="shared" si="69"/>
        <v>770.95871773750684</v>
      </c>
      <c r="R245" s="161">
        <v>14593.7</v>
      </c>
      <c r="S245" s="4" t="s">
        <v>279</v>
      </c>
      <c r="T245" s="152" t="s">
        <v>231</v>
      </c>
      <c r="U245" s="139"/>
      <c r="V245" s="139">
        <f>L246-'виды работ '!C242</f>
        <v>0</v>
      </c>
    </row>
    <row r="246" spans="1:22" s="138" customFormat="1" ht="15" customHeight="1" x14ac:dyDescent="0.2">
      <c r="A246" s="160">
        <f t="shared" si="68"/>
        <v>156</v>
      </c>
      <c r="B246" s="47" t="s">
        <v>583</v>
      </c>
      <c r="C246" s="13">
        <v>1917</v>
      </c>
      <c r="D246" s="42"/>
      <c r="E246" s="152" t="s">
        <v>255</v>
      </c>
      <c r="F246" s="160">
        <v>2</v>
      </c>
      <c r="G246" s="160">
        <v>1</v>
      </c>
      <c r="H246" s="159">
        <v>367</v>
      </c>
      <c r="I246" s="159">
        <v>281.2</v>
      </c>
      <c r="J246" s="159">
        <v>136.4</v>
      </c>
      <c r="K246" s="160">
        <v>5</v>
      </c>
      <c r="L246" s="159">
        <f>'виды работ '!C242</f>
        <v>5137970.16</v>
      </c>
      <c r="M246" s="159">
        <v>0</v>
      </c>
      <c r="N246" s="159">
        <v>0</v>
      </c>
      <c r="O246" s="159">
        <v>0</v>
      </c>
      <c r="P246" s="159">
        <f>L246</f>
        <v>5137970.16</v>
      </c>
      <c r="Q246" s="159">
        <f>L246/H246</f>
        <v>13999.918692098094</v>
      </c>
      <c r="R246" s="161">
        <v>14593.7</v>
      </c>
      <c r="S246" s="4" t="s">
        <v>279</v>
      </c>
      <c r="T246" s="152" t="s">
        <v>231</v>
      </c>
      <c r="U246" s="139"/>
      <c r="V246" s="139">
        <f>L247-'виды работ '!C243</f>
        <v>0</v>
      </c>
    </row>
    <row r="247" spans="1:22" s="138" customFormat="1" ht="15" customHeight="1" x14ac:dyDescent="0.2">
      <c r="A247" s="160">
        <f t="shared" si="68"/>
        <v>157</v>
      </c>
      <c r="B247" s="47" t="s">
        <v>584</v>
      </c>
      <c r="C247" s="13">
        <v>1917</v>
      </c>
      <c r="D247" s="45"/>
      <c r="E247" s="152" t="s">
        <v>255</v>
      </c>
      <c r="F247" s="160">
        <v>2</v>
      </c>
      <c r="G247" s="160">
        <v>1</v>
      </c>
      <c r="H247" s="159">
        <v>541.70000000000005</v>
      </c>
      <c r="I247" s="159">
        <v>486.1</v>
      </c>
      <c r="J247" s="159">
        <v>372.4</v>
      </c>
      <c r="K247" s="160">
        <v>9</v>
      </c>
      <c r="L247" s="159">
        <f>'виды работ '!C243</f>
        <v>3869296.0700000003</v>
      </c>
      <c r="M247" s="159">
        <v>0</v>
      </c>
      <c r="N247" s="159">
        <v>0</v>
      </c>
      <c r="O247" s="159">
        <v>0</v>
      </c>
      <c r="P247" s="159">
        <f>L247</f>
        <v>3869296.0700000003</v>
      </c>
      <c r="Q247" s="159">
        <f>L247/H247</f>
        <v>7142.8762599224665</v>
      </c>
      <c r="R247" s="161">
        <v>14593.7</v>
      </c>
      <c r="S247" s="4" t="s">
        <v>279</v>
      </c>
      <c r="T247" s="152" t="s">
        <v>231</v>
      </c>
      <c r="U247" s="139"/>
      <c r="V247" s="139">
        <f>L248-'виды работ '!C244</f>
        <v>0</v>
      </c>
    </row>
    <row r="248" spans="1:22" s="138" customFormat="1" ht="12.75" x14ac:dyDescent="0.2">
      <c r="A248" s="160">
        <f t="shared" si="68"/>
        <v>158</v>
      </c>
      <c r="B248" s="5" t="s">
        <v>273</v>
      </c>
      <c r="C248" s="7">
        <v>1964</v>
      </c>
      <c r="D248" s="45"/>
      <c r="E248" s="152" t="s">
        <v>223</v>
      </c>
      <c r="F248" s="160">
        <v>5</v>
      </c>
      <c r="G248" s="160">
        <v>4</v>
      </c>
      <c r="H248" s="43">
        <v>3518.98</v>
      </c>
      <c r="I248" s="43">
        <v>3518.98</v>
      </c>
      <c r="J248" s="159">
        <v>2790.98</v>
      </c>
      <c r="K248" s="160">
        <v>116</v>
      </c>
      <c r="L248" s="159">
        <f>'виды работ '!C244</f>
        <v>1382302.01</v>
      </c>
      <c r="M248" s="159">
        <v>0</v>
      </c>
      <c r="N248" s="159">
        <v>0</v>
      </c>
      <c r="O248" s="159">
        <v>0</v>
      </c>
      <c r="P248" s="159">
        <f t="shared" si="70"/>
        <v>1382302.01</v>
      </c>
      <c r="Q248" s="159">
        <f t="shared" si="69"/>
        <v>392.81326122910616</v>
      </c>
      <c r="R248" s="161">
        <v>14593.7</v>
      </c>
      <c r="S248" s="4" t="s">
        <v>279</v>
      </c>
      <c r="T248" s="152" t="s">
        <v>231</v>
      </c>
      <c r="U248" s="139"/>
      <c r="V248" s="139">
        <f>L249-'виды работ '!C245</f>
        <v>0</v>
      </c>
    </row>
    <row r="249" spans="1:22" s="138" customFormat="1" ht="12.75" x14ac:dyDescent="0.2">
      <c r="A249" s="160">
        <f t="shared" si="68"/>
        <v>159</v>
      </c>
      <c r="B249" s="5" t="s">
        <v>274</v>
      </c>
      <c r="C249" s="7">
        <v>1966</v>
      </c>
      <c r="D249" s="45"/>
      <c r="E249" s="152" t="s">
        <v>223</v>
      </c>
      <c r="F249" s="160">
        <v>5</v>
      </c>
      <c r="G249" s="160">
        <v>3</v>
      </c>
      <c r="H249" s="43">
        <v>2573.34</v>
      </c>
      <c r="I249" s="43">
        <v>2573.34</v>
      </c>
      <c r="J249" s="159">
        <v>1845.3400000000001</v>
      </c>
      <c r="K249" s="160">
        <v>89</v>
      </c>
      <c r="L249" s="159">
        <f>'виды работ '!C245</f>
        <v>1150766.73</v>
      </c>
      <c r="M249" s="159">
        <v>0</v>
      </c>
      <c r="N249" s="159">
        <v>0</v>
      </c>
      <c r="O249" s="159">
        <v>0</v>
      </c>
      <c r="P249" s="159">
        <f t="shared" si="70"/>
        <v>1150766.73</v>
      </c>
      <c r="Q249" s="159">
        <f t="shared" si="69"/>
        <v>447.18798526428685</v>
      </c>
      <c r="R249" s="161">
        <v>14593.7</v>
      </c>
      <c r="S249" s="4" t="s">
        <v>279</v>
      </c>
      <c r="T249" s="152" t="s">
        <v>231</v>
      </c>
      <c r="U249" s="139"/>
      <c r="V249" s="139">
        <f>L250-'виды работ '!C246</f>
        <v>0</v>
      </c>
    </row>
    <row r="250" spans="1:22" s="138" customFormat="1" ht="12.75" x14ac:dyDescent="0.2">
      <c r="A250" s="160">
        <f t="shared" si="68"/>
        <v>160</v>
      </c>
      <c r="B250" s="5" t="s">
        <v>275</v>
      </c>
      <c r="C250" s="7">
        <v>1959</v>
      </c>
      <c r="D250" s="153"/>
      <c r="E250" s="152" t="s">
        <v>219</v>
      </c>
      <c r="F250" s="12">
        <v>3</v>
      </c>
      <c r="G250" s="12">
        <v>3</v>
      </c>
      <c r="H250" s="43">
        <v>1427.73</v>
      </c>
      <c r="I250" s="43">
        <v>1427.73</v>
      </c>
      <c r="J250" s="161">
        <v>699.73</v>
      </c>
      <c r="K250" s="160">
        <v>92</v>
      </c>
      <c r="L250" s="159">
        <f>'виды работ '!C246</f>
        <v>1821297.15</v>
      </c>
      <c r="M250" s="159">
        <v>0</v>
      </c>
      <c r="N250" s="159">
        <v>0</v>
      </c>
      <c r="O250" s="159">
        <v>0</v>
      </c>
      <c r="P250" s="159">
        <f t="shared" si="70"/>
        <v>1821297.15</v>
      </c>
      <c r="Q250" s="159">
        <f t="shared" si="69"/>
        <v>1275.6593683679687</v>
      </c>
      <c r="R250" s="161">
        <v>14593.7</v>
      </c>
      <c r="S250" s="4" t="s">
        <v>279</v>
      </c>
      <c r="T250" s="152" t="s">
        <v>231</v>
      </c>
      <c r="U250" s="139"/>
      <c r="V250" s="139">
        <f>L251-'виды работ '!C247</f>
        <v>0</v>
      </c>
    </row>
    <row r="251" spans="1:22" s="138" customFormat="1" ht="12.75" x14ac:dyDescent="0.2">
      <c r="A251" s="160">
        <f t="shared" si="68"/>
        <v>161</v>
      </c>
      <c r="B251" s="5" t="s">
        <v>276</v>
      </c>
      <c r="C251" s="9">
        <v>1951</v>
      </c>
      <c r="D251" s="48"/>
      <c r="E251" s="152" t="s">
        <v>219</v>
      </c>
      <c r="F251" s="152">
        <v>2</v>
      </c>
      <c r="G251" s="152">
        <v>2</v>
      </c>
      <c r="H251" s="46">
        <v>686.3</v>
      </c>
      <c r="I251" s="46">
        <v>686.3</v>
      </c>
      <c r="J251" s="159">
        <v>574</v>
      </c>
      <c r="K251" s="160">
        <v>38</v>
      </c>
      <c r="L251" s="159">
        <f>'виды работ '!C247</f>
        <v>4441772.58</v>
      </c>
      <c r="M251" s="159">
        <v>0</v>
      </c>
      <c r="N251" s="159">
        <v>0</v>
      </c>
      <c r="O251" s="159">
        <v>0</v>
      </c>
      <c r="P251" s="159">
        <f t="shared" si="70"/>
        <v>4441772.58</v>
      </c>
      <c r="Q251" s="159">
        <f t="shared" si="69"/>
        <v>6472.0567973189573</v>
      </c>
      <c r="R251" s="161">
        <v>14593.7</v>
      </c>
      <c r="S251" s="4" t="s">
        <v>279</v>
      </c>
      <c r="T251" s="152" t="s">
        <v>231</v>
      </c>
      <c r="U251" s="139"/>
      <c r="V251" s="139">
        <f>L252-'виды работ '!C248</f>
        <v>0</v>
      </c>
    </row>
    <row r="252" spans="1:22" s="138" customFormat="1" ht="15.75" customHeight="1" x14ac:dyDescent="0.2">
      <c r="A252" s="160">
        <f t="shared" si="68"/>
        <v>162</v>
      </c>
      <c r="B252" s="155" t="s">
        <v>562</v>
      </c>
      <c r="C252" s="13">
        <v>1961</v>
      </c>
      <c r="D252" s="41"/>
      <c r="E252" s="152" t="s">
        <v>219</v>
      </c>
      <c r="F252" s="13">
        <v>4</v>
      </c>
      <c r="G252" s="13">
        <v>3</v>
      </c>
      <c r="H252" s="159">
        <v>1974.15</v>
      </c>
      <c r="I252" s="159">
        <v>1264.19</v>
      </c>
      <c r="J252" s="159">
        <v>1081.8</v>
      </c>
      <c r="K252" s="160">
        <v>80</v>
      </c>
      <c r="L252" s="159">
        <f>'виды работ '!C248</f>
        <v>755406</v>
      </c>
      <c r="M252" s="159">
        <v>0</v>
      </c>
      <c r="N252" s="159">
        <v>0</v>
      </c>
      <c r="O252" s="159">
        <v>0</v>
      </c>
      <c r="P252" s="159">
        <f>L252</f>
        <v>755406</v>
      </c>
      <c r="Q252" s="159">
        <f>L252/H252</f>
        <v>382.64873489856393</v>
      </c>
      <c r="R252" s="161">
        <v>14593.7</v>
      </c>
      <c r="S252" s="4" t="s">
        <v>279</v>
      </c>
      <c r="T252" s="152" t="s">
        <v>231</v>
      </c>
      <c r="U252" s="139"/>
      <c r="V252" s="139">
        <f>L253-'виды работ '!C249</f>
        <v>0</v>
      </c>
    </row>
    <row r="253" spans="1:22" s="138" customFormat="1" ht="12.75" x14ac:dyDescent="0.2">
      <c r="A253" s="160">
        <f t="shared" si="68"/>
        <v>163</v>
      </c>
      <c r="B253" s="5" t="s">
        <v>277</v>
      </c>
      <c r="C253" s="9">
        <v>1947</v>
      </c>
      <c r="D253" s="42"/>
      <c r="E253" s="152" t="s">
        <v>346</v>
      </c>
      <c r="F253" s="160">
        <v>2</v>
      </c>
      <c r="G253" s="160">
        <v>2</v>
      </c>
      <c r="H253" s="46">
        <v>462.52</v>
      </c>
      <c r="I253" s="46">
        <v>462.52</v>
      </c>
      <c r="J253" s="159">
        <v>329</v>
      </c>
      <c r="K253" s="160">
        <v>27</v>
      </c>
      <c r="L253" s="159">
        <f>'виды работ '!C249</f>
        <v>461271.4</v>
      </c>
      <c r="M253" s="159">
        <v>0</v>
      </c>
      <c r="N253" s="159">
        <v>0</v>
      </c>
      <c r="O253" s="159">
        <v>0</v>
      </c>
      <c r="P253" s="159">
        <f t="shared" si="70"/>
        <v>461271.4</v>
      </c>
      <c r="Q253" s="159">
        <f t="shared" si="69"/>
        <v>997.30044106200819</v>
      </c>
      <c r="R253" s="161">
        <v>14593.7</v>
      </c>
      <c r="S253" s="4" t="s">
        <v>279</v>
      </c>
      <c r="T253" s="152" t="s">
        <v>231</v>
      </c>
      <c r="U253" s="139"/>
      <c r="V253" s="139">
        <f>L254-'виды работ '!C250</f>
        <v>0</v>
      </c>
    </row>
    <row r="254" spans="1:22" s="138" customFormat="1" ht="15.75" customHeight="1" x14ac:dyDescent="0.2">
      <c r="A254" s="160">
        <f t="shared" si="68"/>
        <v>164</v>
      </c>
      <c r="B254" s="155" t="s">
        <v>563</v>
      </c>
      <c r="C254" s="13">
        <v>1917</v>
      </c>
      <c r="D254" s="13"/>
      <c r="E254" s="152" t="s">
        <v>255</v>
      </c>
      <c r="F254" s="13">
        <v>2</v>
      </c>
      <c r="G254" s="13">
        <v>1</v>
      </c>
      <c r="H254" s="159">
        <v>1021.1</v>
      </c>
      <c r="I254" s="159">
        <v>508.3</v>
      </c>
      <c r="J254" s="159">
        <v>456.95</v>
      </c>
      <c r="K254" s="160">
        <v>29</v>
      </c>
      <c r="L254" s="159">
        <f>'виды работ '!C250</f>
        <v>1151652.9100000001</v>
      </c>
      <c r="M254" s="159">
        <v>0</v>
      </c>
      <c r="N254" s="159">
        <v>0</v>
      </c>
      <c r="O254" s="159">
        <v>0</v>
      </c>
      <c r="P254" s="159">
        <f>L254</f>
        <v>1151652.9100000001</v>
      </c>
      <c r="Q254" s="159">
        <f>L254/H254</f>
        <v>1127.8551659974539</v>
      </c>
      <c r="R254" s="161">
        <v>14593.7</v>
      </c>
      <c r="S254" s="4" t="s">
        <v>279</v>
      </c>
      <c r="T254" s="152" t="s">
        <v>231</v>
      </c>
      <c r="U254" s="139"/>
      <c r="V254" s="139">
        <f>L255-'виды работ '!C251</f>
        <v>0</v>
      </c>
    </row>
    <row r="255" spans="1:22" s="138" customFormat="1" ht="12.75" x14ac:dyDescent="0.2">
      <c r="A255" s="160">
        <f t="shared" si="68"/>
        <v>165</v>
      </c>
      <c r="B255" s="5" t="s">
        <v>148</v>
      </c>
      <c r="C255" s="7">
        <v>1962</v>
      </c>
      <c r="D255" s="49"/>
      <c r="E255" s="152" t="s">
        <v>219</v>
      </c>
      <c r="F255" s="50">
        <v>3</v>
      </c>
      <c r="G255" s="50">
        <v>2</v>
      </c>
      <c r="H255" s="43">
        <v>961.66</v>
      </c>
      <c r="I255" s="43">
        <v>961.66</v>
      </c>
      <c r="J255" s="51">
        <v>542</v>
      </c>
      <c r="K255" s="160">
        <v>65</v>
      </c>
      <c r="L255" s="159">
        <f>'виды работ '!C251</f>
        <v>1607001.35</v>
      </c>
      <c r="M255" s="159">
        <v>0</v>
      </c>
      <c r="N255" s="159">
        <v>0</v>
      </c>
      <c r="O255" s="159">
        <v>0</v>
      </c>
      <c r="P255" s="159">
        <f t="shared" si="70"/>
        <v>1607001.35</v>
      </c>
      <c r="Q255" s="159">
        <f t="shared" si="69"/>
        <v>1671.0701807291559</v>
      </c>
      <c r="R255" s="161">
        <v>14593.7</v>
      </c>
      <c r="S255" s="4" t="s">
        <v>279</v>
      </c>
      <c r="T255" s="152" t="s">
        <v>231</v>
      </c>
      <c r="U255" s="139"/>
      <c r="V255" s="139">
        <f>L256-'виды работ '!C252</f>
        <v>0</v>
      </c>
    </row>
    <row r="256" spans="1:22" s="138" customFormat="1" ht="12.75" x14ac:dyDescent="0.2">
      <c r="A256" s="160">
        <f t="shared" si="68"/>
        <v>166</v>
      </c>
      <c r="B256" s="5" t="s">
        <v>149</v>
      </c>
      <c r="C256" s="7">
        <v>1970</v>
      </c>
      <c r="D256" s="45"/>
      <c r="E256" s="152" t="s">
        <v>223</v>
      </c>
      <c r="F256" s="160">
        <v>5</v>
      </c>
      <c r="G256" s="160">
        <v>6</v>
      </c>
      <c r="H256" s="43">
        <v>4391.34</v>
      </c>
      <c r="I256" s="43">
        <v>4391.34</v>
      </c>
      <c r="J256" s="159">
        <v>3663.34</v>
      </c>
      <c r="K256" s="160">
        <v>180</v>
      </c>
      <c r="L256" s="159">
        <f>'виды работ '!C252</f>
        <v>920896.08</v>
      </c>
      <c r="M256" s="159">
        <v>0</v>
      </c>
      <c r="N256" s="159">
        <v>0</v>
      </c>
      <c r="O256" s="159">
        <v>0</v>
      </c>
      <c r="P256" s="159">
        <f t="shared" si="70"/>
        <v>920896.08</v>
      </c>
      <c r="Q256" s="159">
        <f t="shared" si="69"/>
        <v>209.70730574266622</v>
      </c>
      <c r="R256" s="161">
        <v>14593.7</v>
      </c>
      <c r="S256" s="4" t="s">
        <v>279</v>
      </c>
      <c r="T256" s="152" t="s">
        <v>231</v>
      </c>
      <c r="U256" s="139"/>
      <c r="V256" s="139">
        <f>L257-'виды работ '!C253</f>
        <v>0</v>
      </c>
    </row>
    <row r="257" spans="1:22" s="138" customFormat="1" ht="12.75" x14ac:dyDescent="0.2">
      <c r="A257" s="160">
        <f t="shared" si="68"/>
        <v>167</v>
      </c>
      <c r="B257" s="5" t="s">
        <v>150</v>
      </c>
      <c r="C257" s="7">
        <v>1961</v>
      </c>
      <c r="D257" s="44"/>
      <c r="E257" s="152" t="s">
        <v>219</v>
      </c>
      <c r="F257" s="152">
        <v>3</v>
      </c>
      <c r="G257" s="152">
        <v>3</v>
      </c>
      <c r="H257" s="43">
        <v>1529.63</v>
      </c>
      <c r="I257" s="43">
        <v>1529.63</v>
      </c>
      <c r="J257" s="159">
        <v>801.63000000000011</v>
      </c>
      <c r="K257" s="160">
        <v>68</v>
      </c>
      <c r="L257" s="159">
        <f>'виды работ '!C253</f>
        <v>1156542.51</v>
      </c>
      <c r="M257" s="159">
        <v>0</v>
      </c>
      <c r="N257" s="159">
        <v>0</v>
      </c>
      <c r="O257" s="159">
        <v>0</v>
      </c>
      <c r="P257" s="159">
        <f t="shared" si="70"/>
        <v>1156542.51</v>
      </c>
      <c r="Q257" s="159">
        <f t="shared" si="69"/>
        <v>756.09298327046406</v>
      </c>
      <c r="R257" s="161">
        <v>14593.7</v>
      </c>
      <c r="S257" s="4" t="s">
        <v>279</v>
      </c>
      <c r="T257" s="152" t="s">
        <v>231</v>
      </c>
      <c r="U257" s="139"/>
      <c r="V257" s="139">
        <f>L258-'виды работ '!C254</f>
        <v>0</v>
      </c>
    </row>
    <row r="258" spans="1:22" s="138" customFormat="1" ht="12.75" x14ac:dyDescent="0.2">
      <c r="A258" s="160">
        <f t="shared" si="68"/>
        <v>168</v>
      </c>
      <c r="B258" s="5" t="s">
        <v>151</v>
      </c>
      <c r="C258" s="7">
        <v>1961</v>
      </c>
      <c r="D258" s="153"/>
      <c r="E258" s="152" t="s">
        <v>219</v>
      </c>
      <c r="F258" s="12">
        <v>3</v>
      </c>
      <c r="G258" s="12">
        <v>2</v>
      </c>
      <c r="H258" s="43">
        <v>941.51</v>
      </c>
      <c r="I258" s="43">
        <v>941.51</v>
      </c>
      <c r="J258" s="161">
        <v>472</v>
      </c>
      <c r="K258" s="160">
        <v>53</v>
      </c>
      <c r="L258" s="159">
        <f>'виды работ '!C254</f>
        <v>1590486.0799999998</v>
      </c>
      <c r="M258" s="159">
        <v>0</v>
      </c>
      <c r="N258" s="159">
        <v>0</v>
      </c>
      <c r="O258" s="159">
        <v>0</v>
      </c>
      <c r="P258" s="159">
        <f>L258</f>
        <v>1590486.0799999998</v>
      </c>
      <c r="Q258" s="159">
        <f t="shared" si="69"/>
        <v>1689.2928168580258</v>
      </c>
      <c r="R258" s="161">
        <v>14593.7</v>
      </c>
      <c r="S258" s="4" t="s">
        <v>279</v>
      </c>
      <c r="T258" s="152" t="s">
        <v>231</v>
      </c>
      <c r="U258" s="139"/>
      <c r="V258" s="139">
        <f>L259-'виды работ '!C255</f>
        <v>0</v>
      </c>
    </row>
    <row r="259" spans="1:22" s="138" customFormat="1" ht="12.75" x14ac:dyDescent="0.2">
      <c r="A259" s="160">
        <f t="shared" si="68"/>
        <v>169</v>
      </c>
      <c r="B259" s="5" t="s">
        <v>152</v>
      </c>
      <c r="C259" s="7">
        <v>1961</v>
      </c>
      <c r="D259" s="48"/>
      <c r="E259" s="152" t="s">
        <v>219</v>
      </c>
      <c r="F259" s="152">
        <v>3</v>
      </c>
      <c r="G259" s="152">
        <v>2</v>
      </c>
      <c r="H259" s="43">
        <v>946.37</v>
      </c>
      <c r="I259" s="43">
        <v>946.37</v>
      </c>
      <c r="J259" s="159">
        <v>628</v>
      </c>
      <c r="K259" s="160">
        <v>48</v>
      </c>
      <c r="L259" s="159">
        <f>'виды работ '!C255</f>
        <v>980092.24</v>
      </c>
      <c r="M259" s="159">
        <v>0</v>
      </c>
      <c r="N259" s="159">
        <v>0</v>
      </c>
      <c r="O259" s="159">
        <v>0</v>
      </c>
      <c r="P259" s="159">
        <f>L259</f>
        <v>980092.24</v>
      </c>
      <c r="Q259" s="159">
        <f t="shared" si="69"/>
        <v>1035.6332512653614</v>
      </c>
      <c r="R259" s="161">
        <v>14593.7</v>
      </c>
      <c r="S259" s="4" t="s">
        <v>279</v>
      </c>
      <c r="T259" s="152" t="s">
        <v>231</v>
      </c>
      <c r="U259" s="139"/>
      <c r="V259" s="139">
        <f>L260-'виды работ '!C256</f>
        <v>0</v>
      </c>
    </row>
    <row r="260" spans="1:22" s="138" customFormat="1" ht="12.75" x14ac:dyDescent="0.2">
      <c r="A260" s="171" t="s">
        <v>18</v>
      </c>
      <c r="B260" s="171"/>
      <c r="C260" s="171"/>
      <c r="D260" s="159" t="s">
        <v>222</v>
      </c>
      <c r="E260" s="159" t="s">
        <v>222</v>
      </c>
      <c r="F260" s="159" t="s">
        <v>222</v>
      </c>
      <c r="G260" s="159" t="s">
        <v>222</v>
      </c>
      <c r="H260" s="161">
        <f t="shared" ref="H260:P260" si="71">SUM(H231:H259)</f>
        <v>63866.090000000004</v>
      </c>
      <c r="I260" s="161">
        <f t="shared" si="71"/>
        <v>61169.000000000022</v>
      </c>
      <c r="J260" s="161">
        <f t="shared" si="71"/>
        <v>45616.580000000009</v>
      </c>
      <c r="K260" s="165">
        <f t="shared" si="71"/>
        <v>2440</v>
      </c>
      <c r="L260" s="161">
        <f t="shared" si="71"/>
        <v>73990910.969999984</v>
      </c>
      <c r="M260" s="161">
        <f t="shared" si="71"/>
        <v>0</v>
      </c>
      <c r="N260" s="161">
        <f t="shared" si="71"/>
        <v>0</v>
      </c>
      <c r="O260" s="161">
        <f t="shared" si="71"/>
        <v>0</v>
      </c>
      <c r="P260" s="161">
        <f t="shared" si="71"/>
        <v>76315988.969999984</v>
      </c>
      <c r="Q260" s="159">
        <f>L260/H260</f>
        <v>1158.5320311608239</v>
      </c>
      <c r="R260" s="11" t="s">
        <v>222</v>
      </c>
      <c r="S260" s="4" t="s">
        <v>222</v>
      </c>
      <c r="T260" s="4" t="s">
        <v>222</v>
      </c>
      <c r="U260" s="139"/>
      <c r="V260" s="139">
        <f>L261-'виды работ '!C257</f>
        <v>0</v>
      </c>
    </row>
    <row r="261" spans="1:22" s="138" customFormat="1" ht="12.75" x14ac:dyDescent="0.2">
      <c r="A261" s="188" t="s">
        <v>153</v>
      </c>
      <c r="B261" s="188"/>
      <c r="C261" s="188"/>
      <c r="D261" s="188"/>
      <c r="E261" s="188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39"/>
      <c r="V261" s="139">
        <f>L262-'виды работ '!C258</f>
        <v>0</v>
      </c>
    </row>
    <row r="262" spans="1:22" s="138" customFormat="1" ht="12.75" x14ac:dyDescent="0.2">
      <c r="A262" s="160">
        <f>A259+1</f>
        <v>170</v>
      </c>
      <c r="B262" s="5" t="s">
        <v>347</v>
      </c>
      <c r="C262" s="153">
        <v>1982</v>
      </c>
      <c r="D262" s="153"/>
      <c r="E262" s="152" t="s">
        <v>223</v>
      </c>
      <c r="F262" s="153">
        <v>5</v>
      </c>
      <c r="G262" s="153">
        <v>4</v>
      </c>
      <c r="H262" s="152">
        <v>3269.27</v>
      </c>
      <c r="I262" s="161">
        <v>3267.88</v>
      </c>
      <c r="J262" s="161">
        <v>2782.1</v>
      </c>
      <c r="K262" s="153">
        <v>134</v>
      </c>
      <c r="L262" s="161">
        <f>'виды работ '!C258</f>
        <v>354223.86</v>
      </c>
      <c r="M262" s="159">
        <v>0</v>
      </c>
      <c r="N262" s="159">
        <v>0</v>
      </c>
      <c r="O262" s="159">
        <v>0</v>
      </c>
      <c r="P262" s="159">
        <f>L262</f>
        <v>354223.86</v>
      </c>
      <c r="Q262" s="159">
        <f>L262/H262</f>
        <v>108.34952757037503</v>
      </c>
      <c r="R262" s="161">
        <v>14593.7</v>
      </c>
      <c r="S262" s="4" t="s">
        <v>279</v>
      </c>
      <c r="T262" s="152" t="s">
        <v>231</v>
      </c>
      <c r="U262" s="139"/>
      <c r="V262" s="139">
        <f>L263-'виды работ '!C259</f>
        <v>0</v>
      </c>
    </row>
    <row r="263" spans="1:22" s="138" customFormat="1" ht="12.75" x14ac:dyDescent="0.2">
      <c r="A263" s="171" t="s">
        <v>18</v>
      </c>
      <c r="B263" s="171"/>
      <c r="C263" s="171"/>
      <c r="D263" s="159" t="s">
        <v>222</v>
      </c>
      <c r="E263" s="159" t="s">
        <v>222</v>
      </c>
      <c r="F263" s="159" t="s">
        <v>222</v>
      </c>
      <c r="G263" s="159" t="s">
        <v>222</v>
      </c>
      <c r="H263" s="161">
        <f>SUM(H262)</f>
        <v>3269.27</v>
      </c>
      <c r="I263" s="161">
        <f t="shared" ref="I263:P263" si="72">SUM(I262)</f>
        <v>3267.88</v>
      </c>
      <c r="J263" s="161">
        <f t="shared" si="72"/>
        <v>2782.1</v>
      </c>
      <c r="K263" s="165">
        <f t="shared" si="72"/>
        <v>134</v>
      </c>
      <c r="L263" s="161">
        <f t="shared" si="72"/>
        <v>354223.86</v>
      </c>
      <c r="M263" s="161">
        <f t="shared" si="72"/>
        <v>0</v>
      </c>
      <c r="N263" s="161">
        <f t="shared" si="72"/>
        <v>0</v>
      </c>
      <c r="O263" s="161">
        <f t="shared" si="72"/>
        <v>0</v>
      </c>
      <c r="P263" s="161">
        <f t="shared" si="72"/>
        <v>354223.86</v>
      </c>
      <c r="Q263" s="159">
        <f>L263/H263</f>
        <v>108.34952757037503</v>
      </c>
      <c r="R263" s="11" t="s">
        <v>222</v>
      </c>
      <c r="S263" s="4" t="s">
        <v>222</v>
      </c>
      <c r="T263" s="4" t="s">
        <v>222</v>
      </c>
      <c r="U263" s="139"/>
      <c r="V263" s="139">
        <f>L264-'виды работ '!C260</f>
        <v>0</v>
      </c>
    </row>
    <row r="264" spans="1:22" s="138" customFormat="1" ht="12.75" x14ac:dyDescent="0.2">
      <c r="A264" s="169" t="s">
        <v>154</v>
      </c>
      <c r="B264" s="169"/>
      <c r="C264" s="169"/>
      <c r="D264" s="169"/>
      <c r="E264" s="169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39"/>
      <c r="V264" s="139">
        <f>L265-'виды работ '!C261</f>
        <v>0</v>
      </c>
    </row>
    <row r="265" spans="1:22" s="138" customFormat="1" ht="12.75" x14ac:dyDescent="0.2">
      <c r="A265" s="160">
        <f>A262+1</f>
        <v>171</v>
      </c>
      <c r="B265" s="5" t="s">
        <v>348</v>
      </c>
      <c r="C265" s="31">
        <v>1962</v>
      </c>
      <c r="D265" s="31"/>
      <c r="E265" s="152" t="s">
        <v>219</v>
      </c>
      <c r="F265" s="31">
        <v>4</v>
      </c>
      <c r="G265" s="31">
        <v>2</v>
      </c>
      <c r="H265" s="52">
        <v>1628.8</v>
      </c>
      <c r="I265" s="52">
        <v>1628.8</v>
      </c>
      <c r="J265" s="52">
        <v>1163.0999999999999</v>
      </c>
      <c r="K265" s="31">
        <v>59</v>
      </c>
      <c r="L265" s="161">
        <f>'виды работ '!C261</f>
        <v>212713.7</v>
      </c>
      <c r="M265" s="159">
        <v>0</v>
      </c>
      <c r="N265" s="159">
        <v>0</v>
      </c>
      <c r="O265" s="159">
        <v>0</v>
      </c>
      <c r="P265" s="159">
        <f>L265</f>
        <v>212713.7</v>
      </c>
      <c r="Q265" s="159">
        <f>L265/H265</f>
        <v>130.59534626719059</v>
      </c>
      <c r="R265" s="161">
        <v>14593.7</v>
      </c>
      <c r="S265" s="4" t="s">
        <v>279</v>
      </c>
      <c r="T265" s="152" t="s">
        <v>231</v>
      </c>
      <c r="U265" s="139"/>
      <c r="V265" s="139">
        <f>L266-'виды работ '!C262</f>
        <v>0</v>
      </c>
    </row>
    <row r="266" spans="1:22" s="138" customFormat="1" ht="12.75" x14ac:dyDescent="0.2">
      <c r="A266" s="171" t="s">
        <v>18</v>
      </c>
      <c r="B266" s="171"/>
      <c r="C266" s="171"/>
      <c r="D266" s="159" t="s">
        <v>222</v>
      </c>
      <c r="E266" s="159" t="s">
        <v>222</v>
      </c>
      <c r="F266" s="159" t="s">
        <v>222</v>
      </c>
      <c r="G266" s="159" t="s">
        <v>222</v>
      </c>
      <c r="H266" s="161">
        <f t="shared" ref="H266:P266" si="73">SUM(H265:H265)</f>
        <v>1628.8</v>
      </c>
      <c r="I266" s="161">
        <f t="shared" si="73"/>
        <v>1628.8</v>
      </c>
      <c r="J266" s="161">
        <f t="shared" si="73"/>
        <v>1163.0999999999999</v>
      </c>
      <c r="K266" s="165">
        <f t="shared" si="73"/>
        <v>59</v>
      </c>
      <c r="L266" s="161">
        <f t="shared" si="73"/>
        <v>212713.7</v>
      </c>
      <c r="M266" s="161">
        <f t="shared" si="73"/>
        <v>0</v>
      </c>
      <c r="N266" s="161">
        <f t="shared" si="73"/>
        <v>0</v>
      </c>
      <c r="O266" s="161">
        <f t="shared" si="73"/>
        <v>0</v>
      </c>
      <c r="P266" s="161">
        <f t="shared" si="73"/>
        <v>212713.7</v>
      </c>
      <c r="Q266" s="159">
        <f>L266/H266</f>
        <v>130.59534626719059</v>
      </c>
      <c r="R266" s="11" t="s">
        <v>222</v>
      </c>
      <c r="S266" s="4" t="s">
        <v>222</v>
      </c>
      <c r="T266" s="4" t="s">
        <v>222</v>
      </c>
      <c r="U266" s="139"/>
      <c r="V266" s="139">
        <f>L267-'виды работ '!C263</f>
        <v>0</v>
      </c>
    </row>
    <row r="267" spans="1:22" s="230" customFormat="1" ht="12.75" x14ac:dyDescent="0.2">
      <c r="A267" s="181" t="s">
        <v>155</v>
      </c>
      <c r="B267" s="181"/>
      <c r="C267" s="181"/>
      <c r="D267" s="162" t="s">
        <v>222</v>
      </c>
      <c r="E267" s="162" t="s">
        <v>222</v>
      </c>
      <c r="F267" s="162" t="s">
        <v>222</v>
      </c>
      <c r="G267" s="162" t="s">
        <v>222</v>
      </c>
      <c r="H267" s="166">
        <f>H260+H263+H266</f>
        <v>68764.160000000003</v>
      </c>
      <c r="I267" s="166">
        <f t="shared" ref="I267:P267" si="74">I260+I263+I266</f>
        <v>66065.680000000022</v>
      </c>
      <c r="J267" s="166">
        <f t="shared" si="74"/>
        <v>49561.780000000006</v>
      </c>
      <c r="K267" s="166">
        <f t="shared" si="74"/>
        <v>2633</v>
      </c>
      <c r="L267" s="166">
        <f t="shared" si="74"/>
        <v>74557848.529999986</v>
      </c>
      <c r="M267" s="166">
        <f t="shared" si="74"/>
        <v>0</v>
      </c>
      <c r="N267" s="166">
        <f t="shared" si="74"/>
        <v>0</v>
      </c>
      <c r="O267" s="166">
        <f t="shared" si="74"/>
        <v>0</v>
      </c>
      <c r="P267" s="166">
        <f t="shared" si="74"/>
        <v>76882926.529999986</v>
      </c>
      <c r="Q267" s="158">
        <f>L267/H267</f>
        <v>1084.2544798045956</v>
      </c>
      <c r="R267" s="17" t="s">
        <v>222</v>
      </c>
      <c r="S267" s="18" t="s">
        <v>222</v>
      </c>
      <c r="T267" s="18" t="s">
        <v>222</v>
      </c>
      <c r="U267" s="166"/>
      <c r="V267" s="139">
        <f>L268-'виды работ '!C264</f>
        <v>0</v>
      </c>
    </row>
    <row r="268" spans="1:22" s="138" customFormat="1" ht="15" customHeight="1" x14ac:dyDescent="0.2">
      <c r="A268" s="185" t="s">
        <v>50</v>
      </c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39"/>
      <c r="V268" s="139">
        <f>L269-'виды работ '!C265</f>
        <v>0</v>
      </c>
    </row>
    <row r="269" spans="1:22" s="138" customFormat="1" ht="12.75" x14ac:dyDescent="0.2">
      <c r="A269" s="189" t="s">
        <v>51</v>
      </c>
      <c r="B269" s="189"/>
      <c r="C269" s="189"/>
      <c r="D269" s="189"/>
      <c r="E269" s="189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39"/>
      <c r="V269" s="139">
        <f>L270-'виды работ '!C266</f>
        <v>0</v>
      </c>
    </row>
    <row r="270" spans="1:22" s="138" customFormat="1" ht="12.75" x14ac:dyDescent="0.2">
      <c r="A270" s="160">
        <f>A265+1</f>
        <v>172</v>
      </c>
      <c r="B270" s="5" t="s">
        <v>349</v>
      </c>
      <c r="C270" s="7">
        <v>1973</v>
      </c>
      <c r="D270" s="7"/>
      <c r="E270" s="152" t="s">
        <v>223</v>
      </c>
      <c r="F270" s="7">
        <v>9</v>
      </c>
      <c r="G270" s="7">
        <v>6</v>
      </c>
      <c r="H270" s="7">
        <v>14410.47</v>
      </c>
      <c r="I270" s="7">
        <v>11889.51</v>
      </c>
      <c r="J270" s="7">
        <v>7592.94</v>
      </c>
      <c r="K270" s="7">
        <v>549</v>
      </c>
      <c r="L270" s="159">
        <f>'виды работ '!C266</f>
        <v>13503230.789999999</v>
      </c>
      <c r="M270" s="159">
        <v>0</v>
      </c>
      <c r="N270" s="159">
        <v>0</v>
      </c>
      <c r="O270" s="159">
        <v>0</v>
      </c>
      <c r="P270" s="159">
        <f>L270</f>
        <v>13503230.789999999</v>
      </c>
      <c r="Q270" s="159">
        <f>L270/H270</f>
        <v>937.04305203091917</v>
      </c>
      <c r="R270" s="161">
        <v>14593.7</v>
      </c>
      <c r="S270" s="4" t="s">
        <v>279</v>
      </c>
      <c r="T270" s="152" t="s">
        <v>231</v>
      </c>
      <c r="U270" s="139"/>
      <c r="V270" s="139">
        <f>L271-'виды работ '!C267</f>
        <v>0</v>
      </c>
    </row>
    <row r="271" spans="1:22" s="138" customFormat="1" ht="12.75" x14ac:dyDescent="0.2">
      <c r="A271" s="13">
        <f>A270+1</f>
        <v>173</v>
      </c>
      <c r="B271" s="5" t="s">
        <v>350</v>
      </c>
      <c r="C271" s="7">
        <v>1974</v>
      </c>
      <c r="D271" s="7"/>
      <c r="E271" s="152" t="s">
        <v>223</v>
      </c>
      <c r="F271" s="7">
        <v>9</v>
      </c>
      <c r="G271" s="7">
        <v>6</v>
      </c>
      <c r="H271" s="7">
        <v>14359.6</v>
      </c>
      <c r="I271" s="7">
        <v>11768.6</v>
      </c>
      <c r="J271" s="7">
        <v>7534.5</v>
      </c>
      <c r="K271" s="7">
        <v>505</v>
      </c>
      <c r="L271" s="161">
        <f>'виды работ '!C267</f>
        <v>13503230.789999999</v>
      </c>
      <c r="M271" s="159">
        <v>0</v>
      </c>
      <c r="N271" s="159">
        <v>0</v>
      </c>
      <c r="O271" s="159">
        <v>0</v>
      </c>
      <c r="P271" s="159">
        <f>L271</f>
        <v>13503230.789999999</v>
      </c>
      <c r="Q271" s="159">
        <f>L271/H271</f>
        <v>940.3625999331457</v>
      </c>
      <c r="R271" s="161">
        <v>14593.7</v>
      </c>
      <c r="S271" s="4" t="s">
        <v>279</v>
      </c>
      <c r="T271" s="152" t="s">
        <v>231</v>
      </c>
      <c r="U271" s="139"/>
      <c r="V271" s="139">
        <f>L272-'виды работ '!C268</f>
        <v>0</v>
      </c>
    </row>
    <row r="272" spans="1:22" s="138" customFormat="1" ht="12.75" x14ac:dyDescent="0.2">
      <c r="A272" s="13">
        <f>A271+1</f>
        <v>174</v>
      </c>
      <c r="B272" s="5" t="s">
        <v>352</v>
      </c>
      <c r="C272" s="152">
        <v>1967</v>
      </c>
      <c r="D272" s="152"/>
      <c r="E272" s="152" t="s">
        <v>219</v>
      </c>
      <c r="F272" s="152">
        <v>9</v>
      </c>
      <c r="G272" s="152">
        <v>1</v>
      </c>
      <c r="H272" s="152">
        <v>1959.9</v>
      </c>
      <c r="I272" s="159">
        <v>1477.7</v>
      </c>
      <c r="J272" s="159">
        <v>1231.7</v>
      </c>
      <c r="K272" s="160">
        <v>87</v>
      </c>
      <c r="L272" s="161">
        <f>'виды работ '!C268</f>
        <v>1574310</v>
      </c>
      <c r="M272" s="159">
        <v>0</v>
      </c>
      <c r="N272" s="159">
        <v>0</v>
      </c>
      <c r="O272" s="159">
        <v>0</v>
      </c>
      <c r="P272" s="159">
        <f>L272</f>
        <v>1574310</v>
      </c>
      <c r="Q272" s="159">
        <f>L272/H272</f>
        <v>803.26037042706253</v>
      </c>
      <c r="R272" s="161">
        <v>14593.7</v>
      </c>
      <c r="S272" s="4" t="s">
        <v>279</v>
      </c>
      <c r="T272" s="152" t="s">
        <v>231</v>
      </c>
      <c r="U272" s="139"/>
      <c r="V272" s="139">
        <f>L273-'виды работ '!C269</f>
        <v>0</v>
      </c>
    </row>
    <row r="273" spans="1:22" s="138" customFormat="1" ht="12.75" x14ac:dyDescent="0.2">
      <c r="A273" s="13">
        <f>A272+1</f>
        <v>175</v>
      </c>
      <c r="B273" s="5" t="s">
        <v>351</v>
      </c>
      <c r="C273" s="7">
        <v>1977</v>
      </c>
      <c r="D273" s="7"/>
      <c r="E273" s="152" t="s">
        <v>223</v>
      </c>
      <c r="F273" s="7">
        <v>9</v>
      </c>
      <c r="G273" s="7">
        <v>5</v>
      </c>
      <c r="H273" s="7">
        <v>12395.9</v>
      </c>
      <c r="I273" s="7">
        <v>9747.2999999999993</v>
      </c>
      <c r="J273" s="7">
        <v>6394.88</v>
      </c>
      <c r="K273" s="7">
        <v>483</v>
      </c>
      <c r="L273" s="161">
        <f>'виды работ '!C269</f>
        <v>11412136.050000001</v>
      </c>
      <c r="M273" s="159">
        <v>0</v>
      </c>
      <c r="N273" s="159">
        <v>0</v>
      </c>
      <c r="O273" s="159">
        <v>0</v>
      </c>
      <c r="P273" s="159">
        <f>L273</f>
        <v>11412136.050000001</v>
      </c>
      <c r="Q273" s="159">
        <f>L273/H273</f>
        <v>920.63795690510585</v>
      </c>
      <c r="R273" s="161">
        <v>14593.7</v>
      </c>
      <c r="S273" s="4" t="s">
        <v>279</v>
      </c>
      <c r="T273" s="152" t="s">
        <v>231</v>
      </c>
      <c r="U273" s="139"/>
      <c r="V273" s="139">
        <f>L274-'виды работ '!C270</f>
        <v>0</v>
      </c>
    </row>
    <row r="274" spans="1:22" s="138" customFormat="1" ht="15" customHeight="1" x14ac:dyDescent="0.2">
      <c r="A274" s="171" t="s">
        <v>18</v>
      </c>
      <c r="B274" s="171"/>
      <c r="C274" s="171"/>
      <c r="D274" s="159" t="s">
        <v>222</v>
      </c>
      <c r="E274" s="159" t="s">
        <v>222</v>
      </c>
      <c r="F274" s="159" t="s">
        <v>222</v>
      </c>
      <c r="G274" s="159" t="s">
        <v>222</v>
      </c>
      <c r="H274" s="161">
        <f>SUM(H270:H273)</f>
        <v>43125.87</v>
      </c>
      <c r="I274" s="161">
        <f t="shared" ref="I274:P274" si="75">SUM(I270:I273)</f>
        <v>34883.11</v>
      </c>
      <c r="J274" s="161">
        <f t="shared" si="75"/>
        <v>22754.02</v>
      </c>
      <c r="K274" s="165">
        <f t="shared" si="75"/>
        <v>1624</v>
      </c>
      <c r="L274" s="161">
        <f>SUM(L270:L273)</f>
        <v>39992907.629999995</v>
      </c>
      <c r="M274" s="161">
        <f t="shared" si="75"/>
        <v>0</v>
      </c>
      <c r="N274" s="161">
        <f t="shared" si="75"/>
        <v>0</v>
      </c>
      <c r="O274" s="161">
        <f t="shared" si="75"/>
        <v>0</v>
      </c>
      <c r="P274" s="161">
        <f t="shared" si="75"/>
        <v>39992907.629999995</v>
      </c>
      <c r="Q274" s="159">
        <f>L274/H274</f>
        <v>927.35306279038525</v>
      </c>
      <c r="R274" s="17" t="s">
        <v>222</v>
      </c>
      <c r="S274" s="4" t="s">
        <v>222</v>
      </c>
      <c r="T274" s="4" t="s">
        <v>222</v>
      </c>
      <c r="U274" s="139"/>
      <c r="V274" s="139">
        <f>L275-'виды работ '!C271</f>
        <v>0</v>
      </c>
    </row>
    <row r="275" spans="1:22" s="138" customFormat="1" ht="15.75" customHeight="1" x14ac:dyDescent="0.2">
      <c r="A275" s="189" t="s">
        <v>52</v>
      </c>
      <c r="B275" s="189"/>
      <c r="C275" s="189"/>
      <c r="D275" s="189"/>
      <c r="E275" s="189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39"/>
      <c r="V275" s="139">
        <f>L276-'виды работ '!C272</f>
        <v>0</v>
      </c>
    </row>
    <row r="276" spans="1:22" s="138" customFormat="1" ht="12.75" x14ac:dyDescent="0.2">
      <c r="A276" s="13">
        <f>A273+1</f>
        <v>176</v>
      </c>
      <c r="B276" s="5" t="s">
        <v>353</v>
      </c>
      <c r="C276" s="153">
        <v>1982</v>
      </c>
      <c r="D276" s="4"/>
      <c r="E276" s="152" t="s">
        <v>219</v>
      </c>
      <c r="F276" s="4" t="s">
        <v>230</v>
      </c>
      <c r="G276" s="153">
        <v>4</v>
      </c>
      <c r="H276" s="153">
        <v>10724.7</v>
      </c>
      <c r="I276" s="153">
        <v>9484.4</v>
      </c>
      <c r="J276" s="153">
        <v>7355.4</v>
      </c>
      <c r="K276" s="153">
        <v>342</v>
      </c>
      <c r="L276" s="161">
        <f>'виды работ '!C272</f>
        <v>11395267.92</v>
      </c>
      <c r="M276" s="159">
        <v>0</v>
      </c>
      <c r="N276" s="159">
        <v>0</v>
      </c>
      <c r="O276" s="159">
        <v>0</v>
      </c>
      <c r="P276" s="159">
        <f>L276</f>
        <v>11395267.92</v>
      </c>
      <c r="Q276" s="159">
        <f t="shared" ref="Q276:Q281" si="76">L276/H276</f>
        <v>1062.5255643514504</v>
      </c>
      <c r="R276" s="161">
        <v>14593.7</v>
      </c>
      <c r="S276" s="4" t="s">
        <v>279</v>
      </c>
      <c r="T276" s="152" t="s">
        <v>231</v>
      </c>
      <c r="U276" s="139"/>
      <c r="V276" s="139">
        <f>L277-'виды работ '!C273</f>
        <v>0</v>
      </c>
    </row>
    <row r="277" spans="1:22" s="138" customFormat="1" ht="12.75" x14ac:dyDescent="0.2">
      <c r="A277" s="13">
        <f>A276+1</f>
        <v>177</v>
      </c>
      <c r="B277" s="5" t="s">
        <v>354</v>
      </c>
      <c r="C277" s="153">
        <v>1964</v>
      </c>
      <c r="D277" s="153"/>
      <c r="E277" s="152" t="s">
        <v>219</v>
      </c>
      <c r="F277" s="153">
        <v>4</v>
      </c>
      <c r="G277" s="153">
        <v>3</v>
      </c>
      <c r="H277" s="152">
        <v>2325.4</v>
      </c>
      <c r="I277" s="153">
        <v>1980.4</v>
      </c>
      <c r="J277" s="153">
        <v>1569.54</v>
      </c>
      <c r="K277" s="153">
        <v>74</v>
      </c>
      <c r="L277" s="161">
        <f>'виды работ '!C273</f>
        <v>634483.03</v>
      </c>
      <c r="M277" s="159">
        <v>0</v>
      </c>
      <c r="N277" s="159">
        <v>0</v>
      </c>
      <c r="O277" s="159">
        <v>0</v>
      </c>
      <c r="P277" s="159">
        <f>L277</f>
        <v>634483.03</v>
      </c>
      <c r="Q277" s="159">
        <f t="shared" si="76"/>
        <v>272.84898512083942</v>
      </c>
      <c r="R277" s="161">
        <v>14593.7</v>
      </c>
      <c r="S277" s="4" t="s">
        <v>279</v>
      </c>
      <c r="T277" s="152" t="s">
        <v>231</v>
      </c>
      <c r="U277" s="139"/>
      <c r="V277" s="139">
        <f>L278-'виды работ '!C274</f>
        <v>0</v>
      </c>
    </row>
    <row r="278" spans="1:22" s="138" customFormat="1" ht="12.75" x14ac:dyDescent="0.2">
      <c r="A278" s="13">
        <f>A277+1</f>
        <v>178</v>
      </c>
      <c r="B278" s="5" t="s">
        <v>356</v>
      </c>
      <c r="C278" s="152" t="s">
        <v>226</v>
      </c>
      <c r="D278" s="153"/>
      <c r="E278" s="152" t="s">
        <v>219</v>
      </c>
      <c r="F278" s="153">
        <v>2</v>
      </c>
      <c r="G278" s="153">
        <v>1</v>
      </c>
      <c r="H278" s="153">
        <v>258.39999999999998</v>
      </c>
      <c r="I278" s="53">
        <v>229.7</v>
      </c>
      <c r="J278" s="153">
        <v>229.7</v>
      </c>
      <c r="K278" s="152">
        <v>13</v>
      </c>
      <c r="L278" s="161">
        <f>'виды работ '!C274</f>
        <v>303605.46000000002</v>
      </c>
      <c r="M278" s="159">
        <v>0</v>
      </c>
      <c r="N278" s="159">
        <v>0</v>
      </c>
      <c r="O278" s="159">
        <v>0</v>
      </c>
      <c r="P278" s="159">
        <f>L278</f>
        <v>303605.46000000002</v>
      </c>
      <c r="Q278" s="159">
        <f t="shared" si="76"/>
        <v>1174.943730650155</v>
      </c>
      <c r="R278" s="161">
        <v>14593.7</v>
      </c>
      <c r="S278" s="4" t="s">
        <v>279</v>
      </c>
      <c r="T278" s="152" t="s">
        <v>231</v>
      </c>
      <c r="U278" s="139"/>
      <c r="V278" s="139">
        <f>L279-'виды работ '!C275</f>
        <v>0</v>
      </c>
    </row>
    <row r="279" spans="1:22" s="138" customFormat="1" ht="12.75" x14ac:dyDescent="0.2">
      <c r="A279" s="13">
        <f>A278+1</f>
        <v>179</v>
      </c>
      <c r="B279" s="5" t="s">
        <v>357</v>
      </c>
      <c r="C279" s="152">
        <v>1946</v>
      </c>
      <c r="D279" s="153"/>
      <c r="E279" s="152" t="s">
        <v>219</v>
      </c>
      <c r="F279" s="153">
        <v>2</v>
      </c>
      <c r="G279" s="153">
        <v>3</v>
      </c>
      <c r="H279" s="152">
        <v>1005.9</v>
      </c>
      <c r="I279" s="53">
        <v>850</v>
      </c>
      <c r="J279" s="153">
        <v>787.6</v>
      </c>
      <c r="K279" s="152">
        <v>31</v>
      </c>
      <c r="L279" s="161">
        <f>'виды работ '!C275</f>
        <v>362201.9</v>
      </c>
      <c r="M279" s="159">
        <v>0</v>
      </c>
      <c r="N279" s="159">
        <v>0</v>
      </c>
      <c r="O279" s="159">
        <v>0</v>
      </c>
      <c r="P279" s="159">
        <f>L279</f>
        <v>362201.9</v>
      </c>
      <c r="Q279" s="159">
        <f t="shared" si="76"/>
        <v>360.07744308579385</v>
      </c>
      <c r="R279" s="161">
        <v>14593.7</v>
      </c>
      <c r="S279" s="4" t="s">
        <v>279</v>
      </c>
      <c r="T279" s="152" t="s">
        <v>231</v>
      </c>
      <c r="U279" s="139"/>
      <c r="V279" s="139">
        <f>L280-'виды работ '!C276</f>
        <v>0</v>
      </c>
    </row>
    <row r="280" spans="1:22" s="138" customFormat="1" ht="12.75" x14ac:dyDescent="0.2">
      <c r="A280" s="13">
        <f>A279+1</f>
        <v>180</v>
      </c>
      <c r="B280" s="5" t="s">
        <v>355</v>
      </c>
      <c r="C280" s="152" t="s">
        <v>226</v>
      </c>
      <c r="D280" s="153"/>
      <c r="E280" s="152" t="s">
        <v>255</v>
      </c>
      <c r="F280" s="153">
        <v>2</v>
      </c>
      <c r="G280" s="153">
        <v>1</v>
      </c>
      <c r="H280" s="54">
        <v>303</v>
      </c>
      <c r="I280" s="153">
        <v>274.8</v>
      </c>
      <c r="J280" s="153">
        <v>229.7</v>
      </c>
      <c r="K280" s="152">
        <v>6</v>
      </c>
      <c r="L280" s="161">
        <f>'виды работ '!C276</f>
        <v>294686.88</v>
      </c>
      <c r="M280" s="159">
        <v>0</v>
      </c>
      <c r="N280" s="159">
        <v>0</v>
      </c>
      <c r="O280" s="159">
        <v>0</v>
      </c>
      <c r="P280" s="159">
        <f>L280</f>
        <v>294686.88</v>
      </c>
      <c r="Q280" s="159">
        <f t="shared" si="76"/>
        <v>972.56396039603965</v>
      </c>
      <c r="R280" s="161">
        <v>14593.7</v>
      </c>
      <c r="S280" s="4" t="s">
        <v>279</v>
      </c>
      <c r="T280" s="152" t="s">
        <v>231</v>
      </c>
      <c r="U280" s="139"/>
      <c r="V280" s="139">
        <f>L281-'виды работ '!C277</f>
        <v>0</v>
      </c>
    </row>
    <row r="281" spans="1:22" s="138" customFormat="1" ht="12.75" x14ac:dyDescent="0.2">
      <c r="A281" s="182" t="s">
        <v>18</v>
      </c>
      <c r="B281" s="182"/>
      <c r="C281" s="163" t="s">
        <v>222</v>
      </c>
      <c r="D281" s="163" t="s">
        <v>222</v>
      </c>
      <c r="E281" s="163" t="s">
        <v>222</v>
      </c>
      <c r="F281" s="163" t="s">
        <v>222</v>
      </c>
      <c r="G281" s="163" t="s">
        <v>222</v>
      </c>
      <c r="H281" s="161">
        <f t="shared" ref="H281:P281" si="77">SUM(H276:H280)</f>
        <v>14617.4</v>
      </c>
      <c r="I281" s="161">
        <f t="shared" si="77"/>
        <v>12819.3</v>
      </c>
      <c r="J281" s="161">
        <f t="shared" si="77"/>
        <v>10171.94</v>
      </c>
      <c r="K281" s="165">
        <f t="shared" si="77"/>
        <v>466</v>
      </c>
      <c r="L281" s="161">
        <f t="shared" si="77"/>
        <v>12990245.190000001</v>
      </c>
      <c r="M281" s="161">
        <f t="shared" si="77"/>
        <v>0</v>
      </c>
      <c r="N281" s="161">
        <f t="shared" si="77"/>
        <v>0</v>
      </c>
      <c r="O281" s="161">
        <f t="shared" si="77"/>
        <v>0</v>
      </c>
      <c r="P281" s="161">
        <f t="shared" si="77"/>
        <v>12990245.190000001</v>
      </c>
      <c r="Q281" s="159">
        <f t="shared" si="76"/>
        <v>888.68370503646349</v>
      </c>
      <c r="R281" s="11" t="s">
        <v>222</v>
      </c>
      <c r="S281" s="4" t="s">
        <v>222</v>
      </c>
      <c r="T281" s="4" t="s">
        <v>222</v>
      </c>
      <c r="U281" s="139"/>
      <c r="V281" s="139">
        <f>L282-'виды работ '!C278</f>
        <v>0</v>
      </c>
    </row>
    <row r="282" spans="1:22" s="138" customFormat="1" ht="12.75" x14ac:dyDescent="0.2">
      <c r="A282" s="168" t="s">
        <v>53</v>
      </c>
      <c r="B282" s="168"/>
      <c r="C282" s="168"/>
      <c r="D282" s="168"/>
      <c r="E282" s="168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39"/>
      <c r="V282" s="139">
        <f>L283-'виды работ '!C279</f>
        <v>0</v>
      </c>
    </row>
    <row r="283" spans="1:22" s="138" customFormat="1" ht="12.75" x14ac:dyDescent="0.2">
      <c r="A283" s="13">
        <f>A280+1</f>
        <v>181</v>
      </c>
      <c r="B283" s="5" t="s">
        <v>358</v>
      </c>
      <c r="C283" s="153">
        <v>1970</v>
      </c>
      <c r="D283" s="153"/>
      <c r="E283" s="152" t="s">
        <v>219</v>
      </c>
      <c r="F283" s="153">
        <v>2</v>
      </c>
      <c r="G283" s="153">
        <v>2</v>
      </c>
      <c r="H283" s="153">
        <v>546.20000000000005</v>
      </c>
      <c r="I283" s="153">
        <v>325.2</v>
      </c>
      <c r="J283" s="153">
        <v>137.80000000000001</v>
      </c>
      <c r="K283" s="12">
        <v>50</v>
      </c>
      <c r="L283" s="161">
        <f>'виды работ '!C279</f>
        <v>785235.72</v>
      </c>
      <c r="M283" s="159">
        <v>0</v>
      </c>
      <c r="N283" s="159">
        <v>0</v>
      </c>
      <c r="O283" s="159">
        <v>0</v>
      </c>
      <c r="P283" s="159">
        <f>L283</f>
        <v>785235.72</v>
      </c>
      <c r="Q283" s="159">
        <f>L283/H283</f>
        <v>1437.6340534602707</v>
      </c>
      <c r="R283" s="161">
        <v>14593.7</v>
      </c>
      <c r="S283" s="4" t="s">
        <v>279</v>
      </c>
      <c r="T283" s="152" t="s">
        <v>231</v>
      </c>
      <c r="U283" s="139"/>
      <c r="V283" s="139">
        <f>L284-'виды работ '!C280</f>
        <v>0</v>
      </c>
    </row>
    <row r="284" spans="1:22" s="138" customFormat="1" ht="12.75" x14ac:dyDescent="0.2">
      <c r="A284" s="13">
        <f>A283+1</f>
        <v>182</v>
      </c>
      <c r="B284" s="5" t="s">
        <v>359</v>
      </c>
      <c r="C284" s="153">
        <v>1974</v>
      </c>
      <c r="D284" s="153"/>
      <c r="E284" s="152" t="s">
        <v>219</v>
      </c>
      <c r="F284" s="153">
        <v>2</v>
      </c>
      <c r="G284" s="153">
        <v>2</v>
      </c>
      <c r="H284" s="153">
        <v>713.6</v>
      </c>
      <c r="I284" s="153">
        <v>469.5</v>
      </c>
      <c r="J284" s="53">
        <v>388</v>
      </c>
      <c r="K284" s="12">
        <v>38</v>
      </c>
      <c r="L284" s="161">
        <f>'виды работ '!C280</f>
        <v>1091330.08</v>
      </c>
      <c r="M284" s="159">
        <v>0</v>
      </c>
      <c r="N284" s="159">
        <v>0</v>
      </c>
      <c r="O284" s="159">
        <v>0</v>
      </c>
      <c r="P284" s="159">
        <f>L284</f>
        <v>1091330.08</v>
      </c>
      <c r="Q284" s="159">
        <f>L284/H284</f>
        <v>1529.3302690582959</v>
      </c>
      <c r="R284" s="161">
        <v>14593.7</v>
      </c>
      <c r="S284" s="4" t="s">
        <v>279</v>
      </c>
      <c r="T284" s="152" t="s">
        <v>231</v>
      </c>
      <c r="U284" s="139"/>
      <c r="V284" s="139">
        <f>L285-'виды работ '!C281</f>
        <v>0</v>
      </c>
    </row>
    <row r="285" spans="1:22" s="138" customFormat="1" ht="12.75" x14ac:dyDescent="0.2">
      <c r="A285" s="13">
        <f>A284:B284+1</f>
        <v>183</v>
      </c>
      <c r="B285" s="5" t="s">
        <v>360</v>
      </c>
      <c r="C285" s="153">
        <v>1975</v>
      </c>
      <c r="D285" s="153"/>
      <c r="E285" s="152" t="s">
        <v>219</v>
      </c>
      <c r="F285" s="153">
        <v>2</v>
      </c>
      <c r="G285" s="153">
        <v>1</v>
      </c>
      <c r="H285" s="53">
        <v>334</v>
      </c>
      <c r="I285" s="153">
        <v>209.2</v>
      </c>
      <c r="J285" s="153">
        <v>134.30000000000001</v>
      </c>
      <c r="K285" s="153">
        <v>19</v>
      </c>
      <c r="L285" s="161">
        <f>'виды работ '!C281</f>
        <v>528871.28</v>
      </c>
      <c r="M285" s="159">
        <v>0</v>
      </c>
      <c r="N285" s="159">
        <v>0</v>
      </c>
      <c r="O285" s="159">
        <v>0</v>
      </c>
      <c r="P285" s="159">
        <f>L285</f>
        <v>528871.28</v>
      </c>
      <c r="Q285" s="159">
        <f>L285/H285</f>
        <v>1583.4469461077845</v>
      </c>
      <c r="R285" s="161">
        <v>14593.7</v>
      </c>
      <c r="S285" s="4" t="s">
        <v>279</v>
      </c>
      <c r="T285" s="152" t="s">
        <v>231</v>
      </c>
      <c r="U285" s="139"/>
      <c r="V285" s="139">
        <f>L286-'виды работ '!C282</f>
        <v>0</v>
      </c>
    </row>
    <row r="286" spans="1:22" s="138" customFormat="1" ht="12.75" x14ac:dyDescent="0.2">
      <c r="A286" s="182" t="s">
        <v>18</v>
      </c>
      <c r="B286" s="182"/>
      <c r="C286" s="163" t="s">
        <v>222</v>
      </c>
      <c r="D286" s="163" t="s">
        <v>222</v>
      </c>
      <c r="E286" s="163" t="s">
        <v>222</v>
      </c>
      <c r="F286" s="163" t="s">
        <v>222</v>
      </c>
      <c r="G286" s="163" t="s">
        <v>222</v>
      </c>
      <c r="H286" s="161">
        <f>SUM(H283:H285)</f>
        <v>1593.8000000000002</v>
      </c>
      <c r="I286" s="161">
        <f t="shared" ref="I286:P286" si="78">SUM(I283:I285)</f>
        <v>1003.9000000000001</v>
      </c>
      <c r="J286" s="161">
        <f t="shared" si="78"/>
        <v>660.09999999999991</v>
      </c>
      <c r="K286" s="165">
        <f t="shared" si="78"/>
        <v>107</v>
      </c>
      <c r="L286" s="161">
        <f>SUM(L283:L285)</f>
        <v>2405437.08</v>
      </c>
      <c r="M286" s="161">
        <f t="shared" si="78"/>
        <v>0</v>
      </c>
      <c r="N286" s="161">
        <f t="shared" si="78"/>
        <v>0</v>
      </c>
      <c r="O286" s="161">
        <f t="shared" si="78"/>
        <v>0</v>
      </c>
      <c r="P286" s="161">
        <f t="shared" si="78"/>
        <v>2405437.08</v>
      </c>
      <c r="Q286" s="159">
        <f>L286/H286</f>
        <v>1509.2465052076795</v>
      </c>
      <c r="R286" s="11" t="s">
        <v>222</v>
      </c>
      <c r="S286" s="4" t="s">
        <v>222</v>
      </c>
      <c r="T286" s="4" t="s">
        <v>222</v>
      </c>
      <c r="U286" s="139"/>
      <c r="V286" s="139">
        <f>L287-'виды работ '!C283</f>
        <v>0</v>
      </c>
    </row>
    <row r="287" spans="1:22" s="230" customFormat="1" ht="12.75" x14ac:dyDescent="0.2">
      <c r="A287" s="181" t="s">
        <v>54</v>
      </c>
      <c r="B287" s="181"/>
      <c r="C287" s="181"/>
      <c r="D287" s="162" t="s">
        <v>222</v>
      </c>
      <c r="E287" s="162" t="s">
        <v>222</v>
      </c>
      <c r="F287" s="162" t="s">
        <v>222</v>
      </c>
      <c r="G287" s="162" t="s">
        <v>222</v>
      </c>
      <c r="H287" s="166">
        <f t="shared" ref="H287:P287" si="79">H274+H281+H286</f>
        <v>59337.070000000007</v>
      </c>
      <c r="I287" s="166">
        <f t="shared" si="79"/>
        <v>48706.310000000005</v>
      </c>
      <c r="J287" s="166">
        <f t="shared" si="79"/>
        <v>33586.06</v>
      </c>
      <c r="K287" s="16">
        <f t="shared" si="79"/>
        <v>2197</v>
      </c>
      <c r="L287" s="166">
        <f t="shared" si="79"/>
        <v>55388589.899999991</v>
      </c>
      <c r="M287" s="166">
        <f t="shared" si="79"/>
        <v>0</v>
      </c>
      <c r="N287" s="166">
        <f t="shared" si="79"/>
        <v>0</v>
      </c>
      <c r="O287" s="166">
        <f t="shared" si="79"/>
        <v>0</v>
      </c>
      <c r="P287" s="166">
        <f t="shared" si="79"/>
        <v>55388589.899999991</v>
      </c>
      <c r="Q287" s="158">
        <f>L287/H287</f>
        <v>933.45677331219736</v>
      </c>
      <c r="R287" s="17" t="s">
        <v>222</v>
      </c>
      <c r="S287" s="18" t="s">
        <v>222</v>
      </c>
      <c r="T287" s="18" t="s">
        <v>222</v>
      </c>
      <c r="U287" s="166"/>
      <c r="V287" s="139">
        <f>L288-'виды работ '!C284</f>
        <v>0</v>
      </c>
    </row>
    <row r="288" spans="1:22" s="138" customFormat="1" ht="15" customHeight="1" x14ac:dyDescent="0.2">
      <c r="A288" s="185" t="s">
        <v>55</v>
      </c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39"/>
      <c r="V288" s="139">
        <f>L289-'виды работ '!C285</f>
        <v>0</v>
      </c>
    </row>
    <row r="289" spans="1:22" s="138" customFormat="1" ht="15.75" customHeight="1" x14ac:dyDescent="0.2">
      <c r="A289" s="168" t="s">
        <v>56</v>
      </c>
      <c r="B289" s="168"/>
      <c r="C289" s="168"/>
      <c r="D289" s="168"/>
      <c r="E289" s="168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39"/>
      <c r="V289" s="139">
        <f>L290-'виды работ '!C286</f>
        <v>0</v>
      </c>
    </row>
    <row r="290" spans="1:22" s="138" customFormat="1" ht="20.25" customHeight="1" x14ac:dyDescent="0.2">
      <c r="A290" s="12">
        <f>A285+1</f>
        <v>184</v>
      </c>
      <c r="B290" s="5" t="s">
        <v>361</v>
      </c>
      <c r="C290" s="153">
        <v>1990</v>
      </c>
      <c r="D290" s="153"/>
      <c r="E290" s="152" t="s">
        <v>223</v>
      </c>
      <c r="F290" s="153">
        <v>9</v>
      </c>
      <c r="G290" s="153">
        <v>2</v>
      </c>
      <c r="H290" s="161">
        <v>4159</v>
      </c>
      <c r="I290" s="161">
        <v>4159</v>
      </c>
      <c r="J290" s="161">
        <v>3544.53</v>
      </c>
      <c r="K290" s="153">
        <v>198</v>
      </c>
      <c r="L290" s="161">
        <f>'виды работ '!C286</f>
        <v>4737788.1100000003</v>
      </c>
      <c r="M290" s="159">
        <v>0</v>
      </c>
      <c r="N290" s="159">
        <v>0</v>
      </c>
      <c r="O290" s="159">
        <v>0</v>
      </c>
      <c r="P290" s="159">
        <f>L290</f>
        <v>4737788.1100000003</v>
      </c>
      <c r="Q290" s="159">
        <f>L290/H290</f>
        <v>1139.1652103871124</v>
      </c>
      <c r="R290" s="161">
        <v>14593.7</v>
      </c>
      <c r="S290" s="4" t="s">
        <v>279</v>
      </c>
      <c r="T290" s="152" t="s">
        <v>231</v>
      </c>
      <c r="U290" s="139"/>
      <c r="V290" s="139">
        <f>L291-'виды работ '!C287</f>
        <v>0</v>
      </c>
    </row>
    <row r="291" spans="1:22" s="138" customFormat="1" ht="20.25" customHeight="1" x14ac:dyDescent="0.2">
      <c r="A291" s="12">
        <f>A290+1</f>
        <v>185</v>
      </c>
      <c r="B291" s="5" t="s">
        <v>362</v>
      </c>
      <c r="C291" s="153">
        <v>1991</v>
      </c>
      <c r="D291" s="153"/>
      <c r="E291" s="152" t="s">
        <v>223</v>
      </c>
      <c r="F291" s="153">
        <v>9</v>
      </c>
      <c r="G291" s="153">
        <v>4</v>
      </c>
      <c r="H291" s="161">
        <v>7910</v>
      </c>
      <c r="I291" s="161">
        <v>7910</v>
      </c>
      <c r="J291" s="161">
        <v>7160.5</v>
      </c>
      <c r="K291" s="153">
        <v>324</v>
      </c>
      <c r="L291" s="161">
        <f>'виды работ '!C287</f>
        <v>9467929.7899999991</v>
      </c>
      <c r="M291" s="159">
        <v>0</v>
      </c>
      <c r="N291" s="159">
        <v>0</v>
      </c>
      <c r="O291" s="159">
        <v>0</v>
      </c>
      <c r="P291" s="159">
        <f>L291</f>
        <v>9467929.7899999991</v>
      </c>
      <c r="Q291" s="159">
        <f>L291/H291</f>
        <v>1196.9569898862198</v>
      </c>
      <c r="R291" s="161">
        <v>14593.7</v>
      </c>
      <c r="S291" s="4" t="s">
        <v>279</v>
      </c>
      <c r="T291" s="152" t="s">
        <v>231</v>
      </c>
      <c r="U291" s="139"/>
      <c r="V291" s="139">
        <f>L292-'виды работ '!C288</f>
        <v>0</v>
      </c>
    </row>
    <row r="292" spans="1:22" s="138" customFormat="1" ht="15" customHeight="1" x14ac:dyDescent="0.2">
      <c r="A292" s="182" t="s">
        <v>18</v>
      </c>
      <c r="B292" s="182"/>
      <c r="C292" s="163" t="s">
        <v>222</v>
      </c>
      <c r="D292" s="163" t="s">
        <v>222</v>
      </c>
      <c r="E292" s="163" t="s">
        <v>222</v>
      </c>
      <c r="F292" s="163" t="s">
        <v>222</v>
      </c>
      <c r="G292" s="163" t="s">
        <v>222</v>
      </c>
      <c r="H292" s="161">
        <f>SUM(H290:H291)</f>
        <v>12069</v>
      </c>
      <c r="I292" s="161">
        <f t="shared" ref="I292:P292" si="80">SUM(I290:I291)</f>
        <v>12069</v>
      </c>
      <c r="J292" s="161">
        <f t="shared" si="80"/>
        <v>10705.03</v>
      </c>
      <c r="K292" s="165">
        <f t="shared" si="80"/>
        <v>522</v>
      </c>
      <c r="L292" s="161">
        <f>SUM(L290:L291)</f>
        <v>14205717.899999999</v>
      </c>
      <c r="M292" s="161">
        <f t="shared" si="80"/>
        <v>0</v>
      </c>
      <c r="N292" s="161">
        <f t="shared" si="80"/>
        <v>0</v>
      </c>
      <c r="O292" s="161">
        <f t="shared" si="80"/>
        <v>0</v>
      </c>
      <c r="P292" s="161">
        <f t="shared" si="80"/>
        <v>14205717.899999999</v>
      </c>
      <c r="Q292" s="159">
        <f>L292/H292</f>
        <v>1177.0418344519014</v>
      </c>
      <c r="R292" s="11" t="s">
        <v>222</v>
      </c>
      <c r="S292" s="4" t="s">
        <v>222</v>
      </c>
      <c r="T292" s="4" t="s">
        <v>222</v>
      </c>
      <c r="U292" s="139"/>
      <c r="V292" s="139">
        <f>L293-'виды работ '!C289</f>
        <v>0</v>
      </c>
    </row>
    <row r="293" spans="1:22" s="138" customFormat="1" ht="15.75" customHeight="1" x14ac:dyDescent="0.2">
      <c r="A293" s="168" t="s">
        <v>57</v>
      </c>
      <c r="B293" s="168"/>
      <c r="C293" s="168"/>
      <c r="D293" s="168"/>
      <c r="E293" s="168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39"/>
      <c r="V293" s="139">
        <f>L294-'виды работ '!C290</f>
        <v>0</v>
      </c>
    </row>
    <row r="294" spans="1:22" s="138" customFormat="1" ht="12.75" x14ac:dyDescent="0.2">
      <c r="A294" s="12">
        <f>A291+1</f>
        <v>186</v>
      </c>
      <c r="B294" s="14" t="s">
        <v>363</v>
      </c>
      <c r="C294" s="153">
        <v>1972</v>
      </c>
      <c r="D294" s="153"/>
      <c r="E294" s="152" t="s">
        <v>219</v>
      </c>
      <c r="F294" s="153">
        <v>2</v>
      </c>
      <c r="G294" s="153">
        <v>3</v>
      </c>
      <c r="H294" s="161">
        <v>893.4</v>
      </c>
      <c r="I294" s="161">
        <v>572.70000000000005</v>
      </c>
      <c r="J294" s="161">
        <v>313.8</v>
      </c>
      <c r="K294" s="153">
        <v>56</v>
      </c>
      <c r="L294" s="161">
        <f>'виды работ '!C290</f>
        <v>488568.1</v>
      </c>
      <c r="M294" s="159">
        <v>0</v>
      </c>
      <c r="N294" s="159">
        <v>0</v>
      </c>
      <c r="O294" s="159">
        <v>0</v>
      </c>
      <c r="P294" s="159">
        <f>L294</f>
        <v>488568.1</v>
      </c>
      <c r="Q294" s="159">
        <f>L294/H294</f>
        <v>546.86377882247598</v>
      </c>
      <c r="R294" s="161">
        <v>14593.7</v>
      </c>
      <c r="S294" s="4" t="s">
        <v>279</v>
      </c>
      <c r="T294" s="152" t="s">
        <v>231</v>
      </c>
      <c r="U294" s="139"/>
      <c r="V294" s="139">
        <f>L295-'виды работ '!C291</f>
        <v>0</v>
      </c>
    </row>
    <row r="295" spans="1:22" s="138" customFormat="1" ht="12.75" x14ac:dyDescent="0.2">
      <c r="A295" s="12">
        <f>A294+1</f>
        <v>187</v>
      </c>
      <c r="B295" s="14" t="s">
        <v>58</v>
      </c>
      <c r="C295" s="153">
        <v>1973</v>
      </c>
      <c r="D295" s="153"/>
      <c r="E295" s="152" t="s">
        <v>223</v>
      </c>
      <c r="F295" s="153">
        <v>2</v>
      </c>
      <c r="G295" s="153">
        <v>3</v>
      </c>
      <c r="H295" s="161">
        <v>800.6</v>
      </c>
      <c r="I295" s="161">
        <v>800.6</v>
      </c>
      <c r="J295" s="161">
        <v>301.60000000000002</v>
      </c>
      <c r="K295" s="165">
        <v>44</v>
      </c>
      <c r="L295" s="161">
        <f>'виды работ '!C291</f>
        <v>489791.92</v>
      </c>
      <c r="M295" s="159">
        <v>0</v>
      </c>
      <c r="N295" s="159">
        <v>0</v>
      </c>
      <c r="O295" s="159">
        <v>0</v>
      </c>
      <c r="P295" s="159">
        <f>L295</f>
        <v>489791.92</v>
      </c>
      <c r="Q295" s="159">
        <f>L295/H295</f>
        <v>611.78106420184861</v>
      </c>
      <c r="R295" s="161">
        <v>14593.7</v>
      </c>
      <c r="S295" s="4" t="s">
        <v>279</v>
      </c>
      <c r="T295" s="152" t="s">
        <v>231</v>
      </c>
      <c r="U295" s="139"/>
      <c r="V295" s="139">
        <f>L296-'виды работ '!C292</f>
        <v>0</v>
      </c>
    </row>
    <row r="296" spans="1:22" s="138" customFormat="1" ht="12.75" x14ac:dyDescent="0.2">
      <c r="A296" s="182" t="s">
        <v>18</v>
      </c>
      <c r="B296" s="182"/>
      <c r="C296" s="163" t="s">
        <v>222</v>
      </c>
      <c r="D296" s="163" t="s">
        <v>222</v>
      </c>
      <c r="E296" s="163" t="s">
        <v>222</v>
      </c>
      <c r="F296" s="163" t="s">
        <v>222</v>
      </c>
      <c r="G296" s="163" t="s">
        <v>222</v>
      </c>
      <c r="H296" s="161">
        <f>SUM(H294:H295)</f>
        <v>1694</v>
      </c>
      <c r="I296" s="161">
        <f t="shared" ref="I296:P296" si="81">SUM(I294:I295)</f>
        <v>1373.3000000000002</v>
      </c>
      <c r="J296" s="161">
        <f t="shared" si="81"/>
        <v>615.40000000000009</v>
      </c>
      <c r="K296" s="165">
        <f t="shared" si="81"/>
        <v>100</v>
      </c>
      <c r="L296" s="161">
        <f>SUM(L294:L295)</f>
        <v>978360.02</v>
      </c>
      <c r="M296" s="161">
        <f t="shared" si="81"/>
        <v>0</v>
      </c>
      <c r="N296" s="161">
        <f t="shared" si="81"/>
        <v>0</v>
      </c>
      <c r="O296" s="161">
        <f t="shared" si="81"/>
        <v>0</v>
      </c>
      <c r="P296" s="161">
        <f t="shared" si="81"/>
        <v>978360.02</v>
      </c>
      <c r="Q296" s="159">
        <f>L296/H296</f>
        <v>577.54428571428571</v>
      </c>
      <c r="R296" s="11" t="s">
        <v>222</v>
      </c>
      <c r="S296" s="4" t="s">
        <v>222</v>
      </c>
      <c r="T296" s="4" t="s">
        <v>222</v>
      </c>
      <c r="U296" s="139"/>
      <c r="V296" s="139">
        <f>L297-'виды работ '!C293</f>
        <v>0</v>
      </c>
    </row>
    <row r="297" spans="1:22" s="230" customFormat="1" ht="12.75" x14ac:dyDescent="0.2">
      <c r="A297" s="181" t="s">
        <v>59</v>
      </c>
      <c r="B297" s="181"/>
      <c r="C297" s="181"/>
      <c r="D297" s="162" t="s">
        <v>222</v>
      </c>
      <c r="E297" s="162" t="s">
        <v>222</v>
      </c>
      <c r="F297" s="162" t="s">
        <v>222</v>
      </c>
      <c r="G297" s="162" t="s">
        <v>222</v>
      </c>
      <c r="H297" s="166">
        <f>H292+H296</f>
        <v>13763</v>
      </c>
      <c r="I297" s="166">
        <f t="shared" ref="I297:O297" si="82">I292+I296</f>
        <v>13442.3</v>
      </c>
      <c r="J297" s="166">
        <f t="shared" si="82"/>
        <v>11320.43</v>
      </c>
      <c r="K297" s="166">
        <f t="shared" si="82"/>
        <v>622</v>
      </c>
      <c r="L297" s="166">
        <f t="shared" si="82"/>
        <v>15184077.919999998</v>
      </c>
      <c r="M297" s="166">
        <f t="shared" si="82"/>
        <v>0</v>
      </c>
      <c r="N297" s="166">
        <f t="shared" si="82"/>
        <v>0</v>
      </c>
      <c r="O297" s="166">
        <f t="shared" si="82"/>
        <v>0</v>
      </c>
      <c r="P297" s="166">
        <f>P292+P296</f>
        <v>15184077.919999998</v>
      </c>
      <c r="Q297" s="158">
        <f>L297/H297</f>
        <v>1103.2534999636705</v>
      </c>
      <c r="R297" s="17" t="s">
        <v>222</v>
      </c>
      <c r="S297" s="18" t="s">
        <v>222</v>
      </c>
      <c r="T297" s="18" t="s">
        <v>222</v>
      </c>
      <c r="U297" s="166"/>
      <c r="V297" s="139">
        <f>L298-'виды работ '!C294</f>
        <v>0</v>
      </c>
    </row>
    <row r="298" spans="1:22" s="138" customFormat="1" ht="15" customHeight="1" x14ac:dyDescent="0.2">
      <c r="A298" s="185" t="s">
        <v>156</v>
      </c>
      <c r="B298" s="185"/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V298" s="139">
        <f>L299-'виды работ '!C295</f>
        <v>0</v>
      </c>
    </row>
    <row r="299" spans="1:22" s="138" customFormat="1" ht="12.75" x14ac:dyDescent="0.2">
      <c r="A299" s="168" t="s">
        <v>157</v>
      </c>
      <c r="B299" s="168"/>
      <c r="C299" s="168"/>
      <c r="D299" s="168"/>
      <c r="E299" s="168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39"/>
      <c r="V299" s="139">
        <f>L300-'виды работ '!C296</f>
        <v>0</v>
      </c>
    </row>
    <row r="300" spans="1:22" s="138" customFormat="1" ht="12.75" x14ac:dyDescent="0.2">
      <c r="A300" s="12">
        <f>A295+1</f>
        <v>188</v>
      </c>
      <c r="B300" s="5" t="s">
        <v>364</v>
      </c>
      <c r="C300" s="55">
        <v>1956</v>
      </c>
      <c r="D300" s="56"/>
      <c r="E300" s="152" t="s">
        <v>219</v>
      </c>
      <c r="F300" s="56">
        <v>2</v>
      </c>
      <c r="G300" s="55">
        <v>2</v>
      </c>
      <c r="H300" s="57">
        <v>1232.92</v>
      </c>
      <c r="I300" s="57">
        <v>725.12</v>
      </c>
      <c r="J300" s="57">
        <v>708.22</v>
      </c>
      <c r="K300" s="58">
        <v>37</v>
      </c>
      <c r="L300" s="159">
        <f>'виды работ '!C296</f>
        <v>281294.05000000005</v>
      </c>
      <c r="M300" s="159">
        <v>0</v>
      </c>
      <c r="N300" s="159">
        <v>0</v>
      </c>
      <c r="O300" s="159">
        <v>0</v>
      </c>
      <c r="P300" s="159">
        <f t="shared" ref="P300:P307" si="83">L300</f>
        <v>281294.05000000005</v>
      </c>
      <c r="Q300" s="159">
        <f t="shared" ref="Q300:Q307" si="84">L300/H300</f>
        <v>228.15271874898616</v>
      </c>
      <c r="R300" s="161">
        <v>14593.7</v>
      </c>
      <c r="S300" s="4" t="s">
        <v>279</v>
      </c>
      <c r="T300" s="152" t="s">
        <v>231</v>
      </c>
      <c r="U300" s="139"/>
      <c r="V300" s="139">
        <f>L301-'виды работ '!C297</f>
        <v>0</v>
      </c>
    </row>
    <row r="301" spans="1:22" s="138" customFormat="1" ht="12.75" x14ac:dyDescent="0.2">
      <c r="A301" s="13">
        <f>A300+1</f>
        <v>189</v>
      </c>
      <c r="B301" s="5" t="s">
        <v>365</v>
      </c>
      <c r="C301" s="56">
        <v>1951</v>
      </c>
      <c r="D301" s="56"/>
      <c r="E301" s="152" t="s">
        <v>219</v>
      </c>
      <c r="F301" s="56">
        <v>2</v>
      </c>
      <c r="G301" s="56">
        <v>2</v>
      </c>
      <c r="H301" s="59">
        <v>776.72</v>
      </c>
      <c r="I301" s="59">
        <v>714.23</v>
      </c>
      <c r="J301" s="59">
        <v>488.02</v>
      </c>
      <c r="K301" s="58">
        <v>38</v>
      </c>
      <c r="L301" s="159">
        <f>'виды работ '!C297</f>
        <v>320093.12</v>
      </c>
      <c r="M301" s="159">
        <v>0</v>
      </c>
      <c r="N301" s="159">
        <v>0</v>
      </c>
      <c r="O301" s="159">
        <v>0</v>
      </c>
      <c r="P301" s="159">
        <f t="shared" si="83"/>
        <v>320093.12</v>
      </c>
      <c r="Q301" s="159">
        <f t="shared" si="84"/>
        <v>412.10876506334324</v>
      </c>
      <c r="R301" s="161">
        <v>14593.7</v>
      </c>
      <c r="S301" s="4" t="s">
        <v>279</v>
      </c>
      <c r="T301" s="152" t="s">
        <v>231</v>
      </c>
      <c r="U301" s="139"/>
      <c r="V301" s="139">
        <f>L302-'виды работ '!C298</f>
        <v>0</v>
      </c>
    </row>
    <row r="302" spans="1:22" s="138" customFormat="1" ht="12.75" x14ac:dyDescent="0.2">
      <c r="A302" s="13">
        <f t="shared" ref="A302:A308" si="85">A301+1</f>
        <v>190</v>
      </c>
      <c r="B302" s="5" t="s">
        <v>366</v>
      </c>
      <c r="C302" s="56">
        <v>1950</v>
      </c>
      <c r="D302" s="56"/>
      <c r="E302" s="152" t="s">
        <v>219</v>
      </c>
      <c r="F302" s="56">
        <v>3</v>
      </c>
      <c r="G302" s="56">
        <v>2</v>
      </c>
      <c r="H302" s="59">
        <v>944.88</v>
      </c>
      <c r="I302" s="59">
        <v>884.6</v>
      </c>
      <c r="J302" s="59">
        <v>803.82</v>
      </c>
      <c r="K302" s="58">
        <v>29</v>
      </c>
      <c r="L302" s="161">
        <f>'виды работ '!C298</f>
        <v>3766911.58</v>
      </c>
      <c r="M302" s="159">
        <v>0</v>
      </c>
      <c r="N302" s="159">
        <v>0</v>
      </c>
      <c r="O302" s="159">
        <v>0</v>
      </c>
      <c r="P302" s="159">
        <f t="shared" si="83"/>
        <v>3766911.58</v>
      </c>
      <c r="Q302" s="159">
        <f t="shared" si="84"/>
        <v>3986.6560621454578</v>
      </c>
      <c r="R302" s="161">
        <v>14593.7</v>
      </c>
      <c r="S302" s="4" t="s">
        <v>279</v>
      </c>
      <c r="T302" s="152" t="s">
        <v>231</v>
      </c>
      <c r="U302" s="139"/>
      <c r="V302" s="139">
        <f>L303-'виды работ '!C299</f>
        <v>0</v>
      </c>
    </row>
    <row r="303" spans="1:22" s="138" customFormat="1" ht="12.75" x14ac:dyDescent="0.2">
      <c r="A303" s="13">
        <f t="shared" si="85"/>
        <v>191</v>
      </c>
      <c r="B303" s="5" t="s">
        <v>367</v>
      </c>
      <c r="C303" s="56">
        <v>1967</v>
      </c>
      <c r="D303" s="56"/>
      <c r="E303" s="152" t="s">
        <v>219</v>
      </c>
      <c r="F303" s="56">
        <v>5</v>
      </c>
      <c r="G303" s="56">
        <v>4</v>
      </c>
      <c r="H303" s="59">
        <v>3750.96</v>
      </c>
      <c r="I303" s="59">
        <v>3506</v>
      </c>
      <c r="J303" s="59">
        <v>2941.31</v>
      </c>
      <c r="K303" s="58">
        <v>173</v>
      </c>
      <c r="L303" s="159">
        <f>'виды работ '!C299</f>
        <v>1659045.85</v>
      </c>
      <c r="M303" s="159">
        <v>0</v>
      </c>
      <c r="N303" s="159">
        <v>0</v>
      </c>
      <c r="O303" s="159">
        <v>0</v>
      </c>
      <c r="P303" s="159">
        <f t="shared" si="83"/>
        <v>1659045.85</v>
      </c>
      <c r="Q303" s="159">
        <f t="shared" si="84"/>
        <v>442.29899812314716</v>
      </c>
      <c r="R303" s="161">
        <v>14593.7</v>
      </c>
      <c r="S303" s="4" t="s">
        <v>279</v>
      </c>
      <c r="T303" s="152" t="s">
        <v>231</v>
      </c>
      <c r="U303" s="139"/>
      <c r="V303" s="139">
        <f>L304-'виды работ '!C300</f>
        <v>0</v>
      </c>
    </row>
    <row r="304" spans="1:22" s="138" customFormat="1" ht="12.75" x14ac:dyDescent="0.2">
      <c r="A304" s="13">
        <f t="shared" si="85"/>
        <v>192</v>
      </c>
      <c r="B304" s="5" t="s">
        <v>368</v>
      </c>
      <c r="C304" s="56">
        <v>1971</v>
      </c>
      <c r="D304" s="56"/>
      <c r="E304" s="152" t="s">
        <v>219</v>
      </c>
      <c r="F304" s="56">
        <v>5</v>
      </c>
      <c r="G304" s="56">
        <v>4</v>
      </c>
      <c r="H304" s="59">
        <v>3569.48</v>
      </c>
      <c r="I304" s="59">
        <v>3313.06</v>
      </c>
      <c r="J304" s="59">
        <v>2726.11</v>
      </c>
      <c r="K304" s="58">
        <v>174</v>
      </c>
      <c r="L304" s="161">
        <f>'виды работ '!C300</f>
        <v>2216211.5499999998</v>
      </c>
      <c r="M304" s="159">
        <v>0</v>
      </c>
      <c r="N304" s="159">
        <v>0</v>
      </c>
      <c r="O304" s="159">
        <v>0</v>
      </c>
      <c r="P304" s="159">
        <f t="shared" si="83"/>
        <v>2216211.5499999998</v>
      </c>
      <c r="Q304" s="159">
        <f t="shared" si="84"/>
        <v>620.87798502863154</v>
      </c>
      <c r="R304" s="161">
        <v>14593.7</v>
      </c>
      <c r="S304" s="4" t="s">
        <v>279</v>
      </c>
      <c r="T304" s="152" t="s">
        <v>231</v>
      </c>
      <c r="U304" s="139"/>
      <c r="V304" s="139">
        <f>L305-'виды работ '!C301</f>
        <v>0</v>
      </c>
    </row>
    <row r="305" spans="1:22" s="138" customFormat="1" ht="12.75" x14ac:dyDescent="0.2">
      <c r="A305" s="13">
        <f t="shared" si="85"/>
        <v>193</v>
      </c>
      <c r="B305" s="5" t="s">
        <v>369</v>
      </c>
      <c r="C305" s="56">
        <v>1933</v>
      </c>
      <c r="D305" s="55"/>
      <c r="E305" s="152" t="s">
        <v>346</v>
      </c>
      <c r="F305" s="56">
        <v>4</v>
      </c>
      <c r="G305" s="56">
        <v>6</v>
      </c>
      <c r="H305" s="57">
        <v>3767.67</v>
      </c>
      <c r="I305" s="34">
        <v>3070.92</v>
      </c>
      <c r="J305" s="57">
        <v>2791.1</v>
      </c>
      <c r="K305" s="60">
        <v>151</v>
      </c>
      <c r="L305" s="161">
        <f>'виды работ '!C301</f>
        <v>725914.55</v>
      </c>
      <c r="M305" s="159">
        <v>0</v>
      </c>
      <c r="N305" s="159">
        <v>0</v>
      </c>
      <c r="O305" s="159">
        <v>0</v>
      </c>
      <c r="P305" s="159">
        <f t="shared" si="83"/>
        <v>725914.55</v>
      </c>
      <c r="Q305" s="159">
        <f t="shared" si="84"/>
        <v>192.66935533101361</v>
      </c>
      <c r="R305" s="161">
        <v>14593.7</v>
      </c>
      <c r="S305" s="4" t="s">
        <v>279</v>
      </c>
      <c r="T305" s="152" t="s">
        <v>231</v>
      </c>
      <c r="U305" s="139"/>
      <c r="V305" s="139">
        <f>L306-'виды работ '!C302</f>
        <v>0</v>
      </c>
    </row>
    <row r="306" spans="1:22" s="138" customFormat="1" ht="12.75" x14ac:dyDescent="0.2">
      <c r="A306" s="13">
        <f t="shared" si="85"/>
        <v>194</v>
      </c>
      <c r="B306" s="5" t="s">
        <v>370</v>
      </c>
      <c r="C306" s="56">
        <v>1950</v>
      </c>
      <c r="D306" s="56"/>
      <c r="E306" s="152" t="s">
        <v>346</v>
      </c>
      <c r="F306" s="56">
        <v>2</v>
      </c>
      <c r="G306" s="56">
        <v>1</v>
      </c>
      <c r="H306" s="59">
        <v>454.03</v>
      </c>
      <c r="I306" s="59">
        <v>416.3</v>
      </c>
      <c r="J306" s="59">
        <v>370.05</v>
      </c>
      <c r="K306" s="58">
        <v>14</v>
      </c>
      <c r="L306" s="161">
        <f>'виды работ '!C302</f>
        <v>2668181.64</v>
      </c>
      <c r="M306" s="159">
        <v>0</v>
      </c>
      <c r="N306" s="159">
        <v>0</v>
      </c>
      <c r="O306" s="159">
        <v>0</v>
      </c>
      <c r="P306" s="159">
        <f t="shared" si="83"/>
        <v>2668181.64</v>
      </c>
      <c r="Q306" s="159">
        <f t="shared" si="84"/>
        <v>5876.6637446864752</v>
      </c>
      <c r="R306" s="161">
        <v>14593.7</v>
      </c>
      <c r="S306" s="4" t="s">
        <v>279</v>
      </c>
      <c r="T306" s="152" t="s">
        <v>231</v>
      </c>
      <c r="U306" s="139"/>
      <c r="V306" s="139">
        <f>L307-'виды работ '!C303</f>
        <v>0</v>
      </c>
    </row>
    <row r="307" spans="1:22" s="138" customFormat="1" ht="12.75" x14ac:dyDescent="0.2">
      <c r="A307" s="13">
        <f t="shared" si="85"/>
        <v>195</v>
      </c>
      <c r="B307" s="5" t="s">
        <v>371</v>
      </c>
      <c r="C307" s="56">
        <v>1933</v>
      </c>
      <c r="D307" s="55"/>
      <c r="E307" s="152" t="s">
        <v>346</v>
      </c>
      <c r="F307" s="56">
        <v>4</v>
      </c>
      <c r="G307" s="56">
        <v>6</v>
      </c>
      <c r="H307" s="57">
        <v>4672.3999999999996</v>
      </c>
      <c r="I307" s="57">
        <v>3340.64</v>
      </c>
      <c r="J307" s="57">
        <v>2798.86</v>
      </c>
      <c r="K307" s="60">
        <v>131</v>
      </c>
      <c r="L307" s="161">
        <f>'виды работ '!C303</f>
        <v>814505.82</v>
      </c>
      <c r="M307" s="159">
        <v>0</v>
      </c>
      <c r="N307" s="159">
        <v>0</v>
      </c>
      <c r="O307" s="159">
        <v>0</v>
      </c>
      <c r="P307" s="159">
        <f t="shared" si="83"/>
        <v>814505.82</v>
      </c>
      <c r="Q307" s="159">
        <f t="shared" si="84"/>
        <v>174.32279342522045</v>
      </c>
      <c r="R307" s="161">
        <v>14593.7</v>
      </c>
      <c r="S307" s="4" t="s">
        <v>279</v>
      </c>
      <c r="T307" s="152" t="s">
        <v>231</v>
      </c>
      <c r="U307" s="139"/>
      <c r="V307" s="139">
        <f>L308-'виды работ '!C304</f>
        <v>0</v>
      </c>
    </row>
    <row r="308" spans="1:22" s="138" customFormat="1" ht="12.75" x14ac:dyDescent="0.2">
      <c r="A308" s="13">
        <f t="shared" si="85"/>
        <v>196</v>
      </c>
      <c r="B308" s="5" t="s">
        <v>372</v>
      </c>
      <c r="C308" s="56">
        <v>1956</v>
      </c>
      <c r="D308" s="56"/>
      <c r="E308" s="152" t="s">
        <v>219</v>
      </c>
      <c r="F308" s="56">
        <v>2</v>
      </c>
      <c r="G308" s="56">
        <v>3</v>
      </c>
      <c r="H308" s="59">
        <v>1175.04</v>
      </c>
      <c r="I308" s="59">
        <v>1054.04</v>
      </c>
      <c r="J308" s="59">
        <v>902.11</v>
      </c>
      <c r="K308" s="58">
        <v>61</v>
      </c>
      <c r="L308" s="159">
        <f>'виды работ '!C304</f>
        <v>320092.77</v>
      </c>
      <c r="M308" s="159">
        <v>0</v>
      </c>
      <c r="N308" s="159">
        <v>0</v>
      </c>
      <c r="O308" s="159">
        <v>0</v>
      </c>
      <c r="P308" s="159">
        <f>L308</f>
        <v>320092.77</v>
      </c>
      <c r="Q308" s="159">
        <f>L308/H308</f>
        <v>272.41010518790853</v>
      </c>
      <c r="R308" s="161">
        <v>14593.7</v>
      </c>
      <c r="S308" s="4" t="s">
        <v>279</v>
      </c>
      <c r="T308" s="152" t="s">
        <v>231</v>
      </c>
      <c r="U308" s="139"/>
      <c r="V308" s="139">
        <f>L309-'виды работ '!C305</f>
        <v>0</v>
      </c>
    </row>
    <row r="309" spans="1:22" s="138" customFormat="1" ht="12.75" x14ac:dyDescent="0.2">
      <c r="A309" s="182" t="s">
        <v>18</v>
      </c>
      <c r="B309" s="182"/>
      <c r="C309" s="163" t="s">
        <v>222</v>
      </c>
      <c r="D309" s="163" t="s">
        <v>222</v>
      </c>
      <c r="E309" s="163" t="s">
        <v>222</v>
      </c>
      <c r="F309" s="163" t="s">
        <v>222</v>
      </c>
      <c r="G309" s="163" t="s">
        <v>222</v>
      </c>
      <c r="H309" s="159">
        <f>SUM(H300:H308)</f>
        <v>20344.099999999999</v>
      </c>
      <c r="I309" s="159">
        <f t="shared" ref="I309:P309" si="86">SUM(I300:I308)</f>
        <v>17024.91</v>
      </c>
      <c r="J309" s="159">
        <f t="shared" si="86"/>
        <v>14529.6</v>
      </c>
      <c r="K309" s="160">
        <f>SUM(K300:K308)</f>
        <v>808</v>
      </c>
      <c r="L309" s="159">
        <f>SUM(L300:L308)</f>
        <v>12772250.93</v>
      </c>
      <c r="M309" s="159">
        <f t="shared" si="86"/>
        <v>0</v>
      </c>
      <c r="N309" s="159">
        <f t="shared" si="86"/>
        <v>0</v>
      </c>
      <c r="O309" s="159">
        <f t="shared" si="86"/>
        <v>0</v>
      </c>
      <c r="P309" s="159">
        <f t="shared" si="86"/>
        <v>12772250.93</v>
      </c>
      <c r="Q309" s="159">
        <f>L309/H309</f>
        <v>627.81105725984446</v>
      </c>
      <c r="R309" s="161" t="s">
        <v>222</v>
      </c>
      <c r="S309" s="4" t="s">
        <v>222</v>
      </c>
      <c r="T309" s="4" t="s">
        <v>222</v>
      </c>
      <c r="U309" s="139"/>
      <c r="V309" s="139">
        <f>L310-'виды работ '!C306</f>
        <v>0</v>
      </c>
    </row>
    <row r="310" spans="1:22" s="138" customFormat="1" ht="15.75" customHeight="1" x14ac:dyDescent="0.2">
      <c r="A310" s="168" t="s">
        <v>158</v>
      </c>
      <c r="B310" s="168"/>
      <c r="C310" s="168"/>
      <c r="D310" s="168"/>
      <c r="E310" s="168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39"/>
      <c r="V310" s="139">
        <f>L311-'виды работ '!C307</f>
        <v>0</v>
      </c>
    </row>
    <row r="311" spans="1:22" s="138" customFormat="1" ht="16.5" customHeight="1" x14ac:dyDescent="0.2">
      <c r="A311" s="12">
        <f>A308+1</f>
        <v>197</v>
      </c>
      <c r="B311" s="5" t="s">
        <v>373</v>
      </c>
      <c r="C311" s="153">
        <v>1955</v>
      </c>
      <c r="D311" s="153"/>
      <c r="E311" s="152" t="s">
        <v>219</v>
      </c>
      <c r="F311" s="153">
        <v>2</v>
      </c>
      <c r="G311" s="153">
        <v>2</v>
      </c>
      <c r="H311" s="161">
        <v>647</v>
      </c>
      <c r="I311" s="163">
        <v>578.9</v>
      </c>
      <c r="J311" s="161">
        <v>374</v>
      </c>
      <c r="K311" s="165">
        <v>20</v>
      </c>
      <c r="L311" s="159">
        <f>'виды работ '!C307</f>
        <v>4824489.7799999993</v>
      </c>
      <c r="M311" s="159">
        <v>0</v>
      </c>
      <c r="N311" s="159">
        <v>0</v>
      </c>
      <c r="O311" s="159">
        <v>0</v>
      </c>
      <c r="P311" s="159">
        <f>L311</f>
        <v>4824489.7799999993</v>
      </c>
      <c r="Q311" s="159">
        <f>L311/H311</f>
        <v>7456.7075425038629</v>
      </c>
      <c r="R311" s="161">
        <v>14593.7</v>
      </c>
      <c r="S311" s="4" t="s">
        <v>279</v>
      </c>
      <c r="T311" s="152" t="s">
        <v>231</v>
      </c>
      <c r="U311" s="139"/>
      <c r="V311" s="139">
        <f>L312-'виды работ '!C308</f>
        <v>0</v>
      </c>
    </row>
    <row r="312" spans="1:22" s="138" customFormat="1" ht="16.5" customHeight="1" x14ac:dyDescent="0.2">
      <c r="A312" s="12">
        <f>A311+1</f>
        <v>198</v>
      </c>
      <c r="B312" s="5" t="s">
        <v>374</v>
      </c>
      <c r="C312" s="153">
        <v>1956</v>
      </c>
      <c r="D312" s="153"/>
      <c r="E312" s="152" t="s">
        <v>219</v>
      </c>
      <c r="F312" s="153">
        <v>2</v>
      </c>
      <c r="G312" s="153">
        <v>2</v>
      </c>
      <c r="H312" s="161">
        <v>649</v>
      </c>
      <c r="I312" s="161">
        <v>586</v>
      </c>
      <c r="J312" s="161">
        <v>247</v>
      </c>
      <c r="K312" s="165">
        <v>41</v>
      </c>
      <c r="L312" s="159">
        <f>'виды работ '!C308</f>
        <v>2262583.85</v>
      </c>
      <c r="M312" s="159">
        <v>0</v>
      </c>
      <c r="N312" s="159">
        <v>0</v>
      </c>
      <c r="O312" s="159">
        <v>0</v>
      </c>
      <c r="P312" s="159">
        <f>L312</f>
        <v>2262583.85</v>
      </c>
      <c r="Q312" s="159">
        <f>L312/H312</f>
        <v>3486.2617103235748</v>
      </c>
      <c r="R312" s="161">
        <v>14593.7</v>
      </c>
      <c r="S312" s="4" t="s">
        <v>279</v>
      </c>
      <c r="T312" s="152" t="s">
        <v>231</v>
      </c>
      <c r="U312" s="139"/>
      <c r="V312" s="139">
        <f>L313-'виды работ '!C309</f>
        <v>0</v>
      </c>
    </row>
    <row r="313" spans="1:22" s="138" customFormat="1" ht="12.75" x14ac:dyDescent="0.2">
      <c r="A313" s="182" t="s">
        <v>18</v>
      </c>
      <c r="B313" s="182"/>
      <c r="C313" s="163" t="s">
        <v>222</v>
      </c>
      <c r="D313" s="163" t="s">
        <v>222</v>
      </c>
      <c r="E313" s="163" t="s">
        <v>222</v>
      </c>
      <c r="F313" s="163" t="s">
        <v>222</v>
      </c>
      <c r="G313" s="163" t="s">
        <v>222</v>
      </c>
      <c r="H313" s="161">
        <f>SUM(H311:H312)</f>
        <v>1296</v>
      </c>
      <c r="I313" s="161">
        <f t="shared" ref="I313:P313" si="87">SUM(I311:I312)</f>
        <v>1164.9000000000001</v>
      </c>
      <c r="J313" s="161">
        <f t="shared" si="87"/>
        <v>621</v>
      </c>
      <c r="K313" s="165">
        <f t="shared" si="87"/>
        <v>61</v>
      </c>
      <c r="L313" s="161">
        <f>SUM(L311:L312)</f>
        <v>7087073.629999999</v>
      </c>
      <c r="M313" s="161">
        <f t="shared" si="87"/>
        <v>0</v>
      </c>
      <c r="N313" s="161">
        <f t="shared" si="87"/>
        <v>0</v>
      </c>
      <c r="O313" s="161">
        <f t="shared" si="87"/>
        <v>0</v>
      </c>
      <c r="P313" s="161">
        <f t="shared" si="87"/>
        <v>7087073.629999999</v>
      </c>
      <c r="Q313" s="159">
        <f>L313/H313</f>
        <v>5468.4210108024681</v>
      </c>
      <c r="R313" s="161" t="s">
        <v>222</v>
      </c>
      <c r="S313" s="4" t="s">
        <v>222</v>
      </c>
      <c r="T313" s="4" t="s">
        <v>222</v>
      </c>
      <c r="U313" s="139"/>
      <c r="V313" s="139">
        <f>L314-'виды работ '!C310</f>
        <v>0</v>
      </c>
    </row>
    <row r="314" spans="1:22" s="138" customFormat="1" ht="15.75" customHeight="1" x14ac:dyDescent="0.2">
      <c r="A314" s="168" t="s">
        <v>159</v>
      </c>
      <c r="B314" s="168"/>
      <c r="C314" s="168"/>
      <c r="D314" s="168"/>
      <c r="E314" s="168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39"/>
      <c r="V314" s="139">
        <f>L315-'виды работ '!C311</f>
        <v>0</v>
      </c>
    </row>
    <row r="315" spans="1:22" s="138" customFormat="1" ht="15.75" customHeight="1" x14ac:dyDescent="0.2">
      <c r="A315" s="13">
        <f>A312+1</f>
        <v>199</v>
      </c>
      <c r="B315" s="155" t="s">
        <v>564</v>
      </c>
      <c r="C315" s="152">
        <v>1948</v>
      </c>
      <c r="D315" s="152">
        <v>1963</v>
      </c>
      <c r="E315" s="152" t="s">
        <v>218</v>
      </c>
      <c r="F315" s="152">
        <v>2</v>
      </c>
      <c r="G315" s="152">
        <v>2</v>
      </c>
      <c r="H315" s="159">
        <v>622.82000000000005</v>
      </c>
      <c r="I315" s="159">
        <v>622.82000000000005</v>
      </c>
      <c r="J315" s="159">
        <v>298.8</v>
      </c>
      <c r="K315" s="160">
        <v>24</v>
      </c>
      <c r="L315" s="161">
        <f>'виды работ '!C311</f>
        <v>434277.57</v>
      </c>
      <c r="M315" s="159">
        <v>0</v>
      </c>
      <c r="N315" s="159">
        <v>0</v>
      </c>
      <c r="O315" s="159">
        <v>0</v>
      </c>
      <c r="P315" s="159">
        <f>L315</f>
        <v>434277.57</v>
      </c>
      <c r="Q315" s="159">
        <f>L315/H315</f>
        <v>697.27621142545195</v>
      </c>
      <c r="R315" s="161">
        <v>14593.7</v>
      </c>
      <c r="S315" s="4" t="s">
        <v>279</v>
      </c>
      <c r="T315" s="152" t="s">
        <v>231</v>
      </c>
      <c r="U315" s="139"/>
      <c r="V315" s="139">
        <f>L316-'виды работ '!C312</f>
        <v>0</v>
      </c>
    </row>
    <row r="316" spans="1:22" s="138" customFormat="1" ht="12.75" x14ac:dyDescent="0.2">
      <c r="A316" s="12">
        <f>A315+1</f>
        <v>200</v>
      </c>
      <c r="B316" s="5" t="s">
        <v>375</v>
      </c>
      <c r="C316" s="153">
        <v>1951</v>
      </c>
      <c r="D316" s="153"/>
      <c r="E316" s="152" t="s">
        <v>346</v>
      </c>
      <c r="F316" s="153">
        <v>2</v>
      </c>
      <c r="G316" s="153">
        <v>2</v>
      </c>
      <c r="H316" s="153">
        <v>794.84</v>
      </c>
      <c r="I316" s="153">
        <v>794.84</v>
      </c>
      <c r="J316" s="153">
        <v>204.95</v>
      </c>
      <c r="K316" s="153">
        <v>30</v>
      </c>
      <c r="L316" s="161">
        <f>'виды работ '!C312</f>
        <v>697674.74</v>
      </c>
      <c r="M316" s="159">
        <v>0</v>
      </c>
      <c r="N316" s="159">
        <v>0</v>
      </c>
      <c r="O316" s="159">
        <v>0</v>
      </c>
      <c r="P316" s="159">
        <f>L316</f>
        <v>697674.74</v>
      </c>
      <c r="Q316" s="159">
        <f>L316/H316</f>
        <v>877.75494439132399</v>
      </c>
      <c r="R316" s="161">
        <v>14593.7</v>
      </c>
      <c r="S316" s="4" t="s">
        <v>279</v>
      </c>
      <c r="T316" s="152" t="s">
        <v>231</v>
      </c>
      <c r="U316" s="139"/>
      <c r="V316" s="139">
        <f>L317-'виды работ '!C313</f>
        <v>0</v>
      </c>
    </row>
    <row r="317" spans="1:22" s="138" customFormat="1" ht="12.75" x14ac:dyDescent="0.2">
      <c r="A317" s="182" t="s">
        <v>18</v>
      </c>
      <c r="B317" s="182"/>
      <c r="C317" s="163" t="s">
        <v>222</v>
      </c>
      <c r="D317" s="163" t="s">
        <v>222</v>
      </c>
      <c r="E317" s="163" t="s">
        <v>222</v>
      </c>
      <c r="F317" s="163" t="s">
        <v>222</v>
      </c>
      <c r="G317" s="163" t="s">
        <v>222</v>
      </c>
      <c r="H317" s="161">
        <f t="shared" ref="H317:P317" si="88">SUM(H315:H316)</f>
        <v>1417.66</v>
      </c>
      <c r="I317" s="161">
        <f t="shared" si="88"/>
        <v>1417.66</v>
      </c>
      <c r="J317" s="161">
        <f t="shared" si="88"/>
        <v>503.75</v>
      </c>
      <c r="K317" s="161">
        <f t="shared" si="88"/>
        <v>54</v>
      </c>
      <c r="L317" s="161">
        <f t="shared" si="88"/>
        <v>1131952.31</v>
      </c>
      <c r="M317" s="161">
        <f t="shared" si="88"/>
        <v>0</v>
      </c>
      <c r="N317" s="161">
        <f t="shared" si="88"/>
        <v>0</v>
      </c>
      <c r="O317" s="161">
        <f t="shared" si="88"/>
        <v>0</v>
      </c>
      <c r="P317" s="161">
        <f t="shared" si="88"/>
        <v>1131952.31</v>
      </c>
      <c r="Q317" s="159">
        <f>L317/H317</f>
        <v>798.46529492261891</v>
      </c>
      <c r="R317" s="161" t="s">
        <v>222</v>
      </c>
      <c r="S317" s="4" t="s">
        <v>222</v>
      </c>
      <c r="T317" s="4" t="s">
        <v>222</v>
      </c>
      <c r="U317" s="139"/>
      <c r="V317" s="139">
        <f>L318-'виды работ '!C314</f>
        <v>0</v>
      </c>
    </row>
    <row r="318" spans="1:22" s="138" customFormat="1" ht="15.75" customHeight="1" x14ac:dyDescent="0.2">
      <c r="A318" s="168" t="s">
        <v>160</v>
      </c>
      <c r="B318" s="168"/>
      <c r="C318" s="168"/>
      <c r="D318" s="168"/>
      <c r="E318" s="168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39"/>
      <c r="V318" s="139">
        <f>L319-'виды работ '!C315</f>
        <v>0</v>
      </c>
    </row>
    <row r="319" spans="1:22" s="138" customFormat="1" ht="12.75" x14ac:dyDescent="0.2">
      <c r="A319" s="12">
        <f>A316+1</f>
        <v>201</v>
      </c>
      <c r="B319" s="5" t="s">
        <v>376</v>
      </c>
      <c r="C319" s="10">
        <v>1958</v>
      </c>
      <c r="D319" s="153"/>
      <c r="E319" s="152" t="s">
        <v>219</v>
      </c>
      <c r="F319" s="153">
        <v>2</v>
      </c>
      <c r="G319" s="165">
        <v>2</v>
      </c>
      <c r="H319" s="43">
        <v>605.72</v>
      </c>
      <c r="I319" s="161">
        <v>546.85</v>
      </c>
      <c r="J319" s="161">
        <v>487.98</v>
      </c>
      <c r="K319" s="160">
        <v>23</v>
      </c>
      <c r="L319" s="161">
        <f>'виды работ '!C315</f>
        <v>2049689.2400000002</v>
      </c>
      <c r="M319" s="159">
        <v>0</v>
      </c>
      <c r="N319" s="159">
        <v>0</v>
      </c>
      <c r="O319" s="159">
        <v>0</v>
      </c>
      <c r="P319" s="159">
        <f>L319</f>
        <v>2049689.2400000002</v>
      </c>
      <c r="Q319" s="159">
        <f>L319/H319</f>
        <v>3383.8889916132871</v>
      </c>
      <c r="R319" s="161">
        <v>14593.7</v>
      </c>
      <c r="S319" s="4" t="s">
        <v>279</v>
      </c>
      <c r="T319" s="152" t="s">
        <v>231</v>
      </c>
      <c r="U319" s="139"/>
      <c r="V319" s="139">
        <f>L320-'виды работ '!C316</f>
        <v>0</v>
      </c>
    </row>
    <row r="320" spans="1:22" s="138" customFormat="1" ht="12.75" x14ac:dyDescent="0.2">
      <c r="A320" s="182" t="s">
        <v>18</v>
      </c>
      <c r="B320" s="182"/>
      <c r="C320" s="163" t="s">
        <v>222</v>
      </c>
      <c r="D320" s="163" t="s">
        <v>222</v>
      </c>
      <c r="E320" s="163" t="s">
        <v>222</v>
      </c>
      <c r="F320" s="163" t="s">
        <v>222</v>
      </c>
      <c r="G320" s="163" t="s">
        <v>222</v>
      </c>
      <c r="H320" s="161">
        <f t="shared" ref="H320:P320" si="89">SUM(H319:H319)</f>
        <v>605.72</v>
      </c>
      <c r="I320" s="161">
        <f t="shared" si="89"/>
        <v>546.85</v>
      </c>
      <c r="J320" s="161">
        <f t="shared" si="89"/>
        <v>487.98</v>
      </c>
      <c r="K320" s="165">
        <f t="shared" si="89"/>
        <v>23</v>
      </c>
      <c r="L320" s="161">
        <f t="shared" si="89"/>
        <v>2049689.2400000002</v>
      </c>
      <c r="M320" s="161">
        <f t="shared" si="89"/>
        <v>0</v>
      </c>
      <c r="N320" s="161">
        <f t="shared" si="89"/>
        <v>0</v>
      </c>
      <c r="O320" s="161">
        <f t="shared" si="89"/>
        <v>0</v>
      </c>
      <c r="P320" s="161">
        <f t="shared" si="89"/>
        <v>2049689.2400000002</v>
      </c>
      <c r="Q320" s="159">
        <f>L320/H320</f>
        <v>3383.8889916132871</v>
      </c>
      <c r="R320" s="161" t="s">
        <v>222</v>
      </c>
      <c r="S320" s="4" t="s">
        <v>222</v>
      </c>
      <c r="T320" s="4" t="s">
        <v>222</v>
      </c>
      <c r="U320" s="139"/>
      <c r="V320" s="139">
        <f>L321-'виды работ '!C317</f>
        <v>0</v>
      </c>
    </row>
    <row r="321" spans="1:22" s="138" customFormat="1" ht="12.75" x14ac:dyDescent="0.2">
      <c r="A321" s="168" t="s">
        <v>161</v>
      </c>
      <c r="B321" s="168"/>
      <c r="C321" s="168"/>
      <c r="D321" s="168"/>
      <c r="E321" s="168"/>
      <c r="F321" s="163"/>
      <c r="G321" s="163"/>
      <c r="H321" s="161"/>
      <c r="I321" s="161"/>
      <c r="J321" s="161"/>
      <c r="K321" s="161"/>
      <c r="L321" s="161"/>
      <c r="M321" s="161"/>
      <c r="N321" s="161"/>
      <c r="O321" s="161"/>
      <c r="P321" s="161"/>
      <c r="Q321" s="159"/>
      <c r="R321" s="161"/>
      <c r="S321" s="4"/>
      <c r="T321" s="4"/>
      <c r="U321" s="139"/>
      <c r="V321" s="139">
        <f>L322-'виды работ '!C318</f>
        <v>0</v>
      </c>
    </row>
    <row r="322" spans="1:22" s="138" customFormat="1" ht="12.75" x14ac:dyDescent="0.2">
      <c r="A322" s="13">
        <f>A319+1</f>
        <v>202</v>
      </c>
      <c r="B322" s="5" t="s">
        <v>377</v>
      </c>
      <c r="C322" s="152">
        <v>1970</v>
      </c>
      <c r="D322" s="152"/>
      <c r="E322" s="152" t="s">
        <v>219</v>
      </c>
      <c r="F322" s="152">
        <v>5</v>
      </c>
      <c r="G322" s="152">
        <v>4</v>
      </c>
      <c r="H322" s="163">
        <v>3894</v>
      </c>
      <c r="I322" s="152">
        <v>3511.13</v>
      </c>
      <c r="J322" s="152">
        <v>2816.33</v>
      </c>
      <c r="K322" s="152">
        <v>166</v>
      </c>
      <c r="L322" s="161">
        <f>'виды работ '!C318</f>
        <v>2267927.83</v>
      </c>
      <c r="M322" s="159">
        <v>0</v>
      </c>
      <c r="N322" s="159">
        <v>0</v>
      </c>
      <c r="O322" s="159">
        <v>0</v>
      </c>
      <c r="P322" s="159">
        <f>L322</f>
        <v>2267927.83</v>
      </c>
      <c r="Q322" s="159">
        <f>L322/H322</f>
        <v>582.41598099640476</v>
      </c>
      <c r="R322" s="161">
        <v>14593.7</v>
      </c>
      <c r="S322" s="4" t="s">
        <v>279</v>
      </c>
      <c r="T322" s="152" t="s">
        <v>231</v>
      </c>
      <c r="U322" s="139"/>
      <c r="V322" s="139">
        <f>L323-'виды работ '!C319</f>
        <v>0</v>
      </c>
    </row>
    <row r="323" spans="1:22" s="138" customFormat="1" ht="12.75" x14ac:dyDescent="0.2">
      <c r="A323" s="13">
        <f>A322+1</f>
        <v>203</v>
      </c>
      <c r="B323" s="5" t="s">
        <v>378</v>
      </c>
      <c r="C323" s="152">
        <v>1971</v>
      </c>
      <c r="D323" s="152"/>
      <c r="E323" s="152" t="s">
        <v>219</v>
      </c>
      <c r="F323" s="152">
        <v>5</v>
      </c>
      <c r="G323" s="152">
        <v>5</v>
      </c>
      <c r="H323" s="152">
        <v>3978.27</v>
      </c>
      <c r="I323" s="152">
        <v>3270.1</v>
      </c>
      <c r="J323" s="152">
        <v>2864.89</v>
      </c>
      <c r="K323" s="152">
        <v>142</v>
      </c>
      <c r="L323" s="161">
        <f>'виды работ '!C319</f>
        <v>2450477.5300000003</v>
      </c>
      <c r="M323" s="159">
        <v>0</v>
      </c>
      <c r="N323" s="159">
        <v>0</v>
      </c>
      <c r="O323" s="159">
        <v>0</v>
      </c>
      <c r="P323" s="159">
        <f>L323</f>
        <v>2450477.5300000003</v>
      </c>
      <c r="Q323" s="159">
        <f>L323/H323</f>
        <v>615.96561570733013</v>
      </c>
      <c r="R323" s="161">
        <v>14593.7</v>
      </c>
      <c r="S323" s="4" t="s">
        <v>279</v>
      </c>
      <c r="T323" s="152" t="s">
        <v>231</v>
      </c>
      <c r="U323" s="139"/>
      <c r="V323" s="139">
        <f>L324-'виды работ '!C320</f>
        <v>0</v>
      </c>
    </row>
    <row r="324" spans="1:22" s="138" customFormat="1" ht="12.75" x14ac:dyDescent="0.2">
      <c r="A324" s="182" t="s">
        <v>18</v>
      </c>
      <c r="B324" s="182"/>
      <c r="C324" s="163" t="s">
        <v>222</v>
      </c>
      <c r="D324" s="163" t="s">
        <v>222</v>
      </c>
      <c r="E324" s="163" t="s">
        <v>222</v>
      </c>
      <c r="F324" s="163" t="s">
        <v>222</v>
      </c>
      <c r="G324" s="163" t="s">
        <v>222</v>
      </c>
      <c r="H324" s="161">
        <f>SUM(H322:H323)</f>
        <v>7872.27</v>
      </c>
      <c r="I324" s="161">
        <f t="shared" ref="I324:P324" si="90">SUM(I322:I323)</f>
        <v>6781.23</v>
      </c>
      <c r="J324" s="161">
        <f t="shared" si="90"/>
        <v>5681.2199999999993</v>
      </c>
      <c r="K324" s="165">
        <f t="shared" si="90"/>
        <v>308</v>
      </c>
      <c r="L324" s="161">
        <f>SUM(L322:L323)</f>
        <v>4718405.3600000003</v>
      </c>
      <c r="M324" s="161">
        <f t="shared" si="90"/>
        <v>0</v>
      </c>
      <c r="N324" s="161">
        <f t="shared" si="90"/>
        <v>0</v>
      </c>
      <c r="O324" s="161">
        <f t="shared" si="90"/>
        <v>0</v>
      </c>
      <c r="P324" s="161">
        <f t="shared" si="90"/>
        <v>4718405.3600000003</v>
      </c>
      <c r="Q324" s="159">
        <f>L324/H324</f>
        <v>599.37036712409508</v>
      </c>
      <c r="R324" s="161" t="s">
        <v>222</v>
      </c>
      <c r="S324" s="4" t="s">
        <v>222</v>
      </c>
      <c r="T324" s="4" t="s">
        <v>222</v>
      </c>
      <c r="U324" s="139"/>
      <c r="V324" s="139">
        <f>L325-'виды работ '!C321</f>
        <v>0</v>
      </c>
    </row>
    <row r="325" spans="1:22" s="138" customFormat="1" ht="15.75" customHeight="1" x14ac:dyDescent="0.2">
      <c r="A325" s="169" t="s">
        <v>162</v>
      </c>
      <c r="B325" s="169"/>
      <c r="C325" s="169"/>
      <c r="D325" s="169"/>
      <c r="E325" s="169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7"/>
      <c r="T325" s="187"/>
      <c r="U325" s="139"/>
      <c r="V325" s="139">
        <f>L326-'виды работ '!C322</f>
        <v>0</v>
      </c>
    </row>
    <row r="326" spans="1:22" s="138" customFormat="1" ht="12.75" x14ac:dyDescent="0.2">
      <c r="A326" s="12">
        <f>A323+1</f>
        <v>204</v>
      </c>
      <c r="B326" s="5" t="s">
        <v>379</v>
      </c>
      <c r="C326" s="7">
        <v>1988</v>
      </c>
      <c r="D326" s="152"/>
      <c r="E326" s="152" t="s">
        <v>223</v>
      </c>
      <c r="F326" s="153">
        <v>5</v>
      </c>
      <c r="G326" s="153">
        <v>4</v>
      </c>
      <c r="H326" s="161">
        <v>4199.5600000000004</v>
      </c>
      <c r="I326" s="161">
        <v>3090.82</v>
      </c>
      <c r="J326" s="161">
        <v>2411.62</v>
      </c>
      <c r="K326" s="153">
        <v>185</v>
      </c>
      <c r="L326" s="161">
        <f>'виды работ '!C322</f>
        <v>3639282.87</v>
      </c>
      <c r="M326" s="159">
        <v>0</v>
      </c>
      <c r="N326" s="159">
        <v>0</v>
      </c>
      <c r="O326" s="159">
        <v>0</v>
      </c>
      <c r="P326" s="159">
        <f>L326</f>
        <v>3639282.87</v>
      </c>
      <c r="Q326" s="159">
        <f>L326/H326</f>
        <v>866.58670670260688</v>
      </c>
      <c r="R326" s="161">
        <v>14593.7</v>
      </c>
      <c r="S326" s="4" t="s">
        <v>279</v>
      </c>
      <c r="T326" s="152" t="s">
        <v>231</v>
      </c>
      <c r="U326" s="139"/>
      <c r="V326" s="139">
        <f>L327-'виды работ '!C323</f>
        <v>0</v>
      </c>
    </row>
    <row r="327" spans="1:22" s="138" customFormat="1" ht="12.75" x14ac:dyDescent="0.2">
      <c r="A327" s="182" t="s">
        <v>18</v>
      </c>
      <c r="B327" s="182"/>
      <c r="C327" s="163" t="s">
        <v>222</v>
      </c>
      <c r="D327" s="163" t="s">
        <v>222</v>
      </c>
      <c r="E327" s="163" t="s">
        <v>222</v>
      </c>
      <c r="F327" s="163" t="s">
        <v>222</v>
      </c>
      <c r="G327" s="163" t="s">
        <v>222</v>
      </c>
      <c r="H327" s="161">
        <f>SUM(H326)</f>
        <v>4199.5600000000004</v>
      </c>
      <c r="I327" s="161">
        <f t="shared" ref="I327:P327" si="91">SUM(I326)</f>
        <v>3090.82</v>
      </c>
      <c r="J327" s="161">
        <f t="shared" si="91"/>
        <v>2411.62</v>
      </c>
      <c r="K327" s="165">
        <f t="shared" si="91"/>
        <v>185</v>
      </c>
      <c r="L327" s="161">
        <f t="shared" si="91"/>
        <v>3639282.87</v>
      </c>
      <c r="M327" s="161">
        <f t="shared" si="91"/>
        <v>0</v>
      </c>
      <c r="N327" s="161">
        <f t="shared" si="91"/>
        <v>0</v>
      </c>
      <c r="O327" s="161">
        <f t="shared" si="91"/>
        <v>0</v>
      </c>
      <c r="P327" s="161">
        <f t="shared" si="91"/>
        <v>3639282.87</v>
      </c>
      <c r="Q327" s="159">
        <f>L327/H327</f>
        <v>866.58670670260688</v>
      </c>
      <c r="R327" s="11" t="s">
        <v>222</v>
      </c>
      <c r="S327" s="4" t="s">
        <v>222</v>
      </c>
      <c r="T327" s="4" t="s">
        <v>222</v>
      </c>
      <c r="U327" s="139"/>
      <c r="V327" s="139">
        <f>L328-'виды работ '!C324</f>
        <v>0</v>
      </c>
    </row>
    <row r="328" spans="1:22" s="138" customFormat="1" ht="15.75" customHeight="1" x14ac:dyDescent="0.2">
      <c r="A328" s="168" t="s">
        <v>163</v>
      </c>
      <c r="B328" s="168"/>
      <c r="C328" s="168"/>
      <c r="D328" s="168"/>
      <c r="E328" s="168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39"/>
      <c r="V328" s="139">
        <f>L329-'виды работ '!C325</f>
        <v>0</v>
      </c>
    </row>
    <row r="329" spans="1:22" s="138" customFormat="1" ht="12.75" x14ac:dyDescent="0.2">
      <c r="A329" s="12">
        <f>A326+1</f>
        <v>205</v>
      </c>
      <c r="B329" s="5" t="s">
        <v>380</v>
      </c>
      <c r="C329" s="153">
        <v>1964</v>
      </c>
      <c r="D329" s="153"/>
      <c r="E329" s="152" t="s">
        <v>219</v>
      </c>
      <c r="F329" s="153">
        <v>2</v>
      </c>
      <c r="G329" s="153">
        <v>2</v>
      </c>
      <c r="H329" s="153">
        <v>733.32</v>
      </c>
      <c r="I329" s="153">
        <v>641.82000000000005</v>
      </c>
      <c r="J329" s="153">
        <v>522.94000000000005</v>
      </c>
      <c r="K329" s="153">
        <v>28</v>
      </c>
      <c r="L329" s="161">
        <f>'виды работ '!C325</f>
        <v>158636.72</v>
      </c>
      <c r="M329" s="159">
        <v>0</v>
      </c>
      <c r="N329" s="159">
        <v>0</v>
      </c>
      <c r="O329" s="159">
        <v>0</v>
      </c>
      <c r="P329" s="159">
        <f>L329</f>
        <v>158636.72</v>
      </c>
      <c r="Q329" s="159">
        <f>L329/H329</f>
        <v>216.32673321333112</v>
      </c>
      <c r="R329" s="161">
        <v>14593.7</v>
      </c>
      <c r="S329" s="4" t="s">
        <v>279</v>
      </c>
      <c r="T329" s="152" t="s">
        <v>231</v>
      </c>
      <c r="U329" s="139"/>
      <c r="V329" s="139">
        <f>L330-'виды работ '!C326</f>
        <v>0</v>
      </c>
    </row>
    <row r="330" spans="1:22" s="138" customFormat="1" ht="12.75" x14ac:dyDescent="0.2">
      <c r="A330" s="182" t="s">
        <v>18</v>
      </c>
      <c r="B330" s="182"/>
      <c r="C330" s="163" t="s">
        <v>222</v>
      </c>
      <c r="D330" s="163" t="s">
        <v>222</v>
      </c>
      <c r="E330" s="163" t="s">
        <v>222</v>
      </c>
      <c r="F330" s="163" t="s">
        <v>222</v>
      </c>
      <c r="G330" s="163" t="s">
        <v>222</v>
      </c>
      <c r="H330" s="153">
        <f>SUM(H329)</f>
        <v>733.32</v>
      </c>
      <c r="I330" s="153">
        <f t="shared" ref="I330:P330" si="92">SUM(I329)</f>
        <v>641.82000000000005</v>
      </c>
      <c r="J330" s="153">
        <f t="shared" si="92"/>
        <v>522.94000000000005</v>
      </c>
      <c r="K330" s="153">
        <f t="shared" si="92"/>
        <v>28</v>
      </c>
      <c r="L330" s="161">
        <f t="shared" si="92"/>
        <v>158636.72</v>
      </c>
      <c r="M330" s="161">
        <f t="shared" si="92"/>
        <v>0</v>
      </c>
      <c r="N330" s="161">
        <f t="shared" si="92"/>
        <v>0</v>
      </c>
      <c r="O330" s="161">
        <f t="shared" si="92"/>
        <v>0</v>
      </c>
      <c r="P330" s="161">
        <f t="shared" si="92"/>
        <v>158636.72</v>
      </c>
      <c r="Q330" s="159">
        <f>L330/H330</f>
        <v>216.32673321333112</v>
      </c>
      <c r="R330" s="11" t="s">
        <v>222</v>
      </c>
      <c r="S330" s="4" t="s">
        <v>222</v>
      </c>
      <c r="T330" s="4" t="s">
        <v>222</v>
      </c>
      <c r="U330" s="139"/>
      <c r="V330" s="139">
        <f>L331-'виды работ '!C327</f>
        <v>0</v>
      </c>
    </row>
    <row r="331" spans="1:22" s="138" customFormat="1" ht="15.75" customHeight="1" x14ac:dyDescent="0.2">
      <c r="A331" s="168" t="s">
        <v>164</v>
      </c>
      <c r="B331" s="168"/>
      <c r="C331" s="168"/>
      <c r="D331" s="168"/>
      <c r="E331" s="168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39"/>
      <c r="V331" s="139">
        <f>L332-'виды работ '!C328</f>
        <v>0</v>
      </c>
    </row>
    <row r="332" spans="1:22" s="138" customFormat="1" ht="12.75" x14ac:dyDescent="0.2">
      <c r="A332" s="12">
        <f>A329+1</f>
        <v>206</v>
      </c>
      <c r="B332" s="5" t="s">
        <v>381</v>
      </c>
      <c r="C332" s="153">
        <v>1960</v>
      </c>
      <c r="D332" s="153"/>
      <c r="E332" s="152" t="s">
        <v>255</v>
      </c>
      <c r="F332" s="153">
        <v>2</v>
      </c>
      <c r="G332" s="153">
        <v>1</v>
      </c>
      <c r="H332" s="161">
        <v>349.63</v>
      </c>
      <c r="I332" s="161">
        <v>349.84</v>
      </c>
      <c r="J332" s="161">
        <v>216.28</v>
      </c>
      <c r="K332" s="165">
        <v>20</v>
      </c>
      <c r="L332" s="161">
        <f>'виды работ '!C328</f>
        <v>795184.82</v>
      </c>
      <c r="M332" s="159">
        <v>0</v>
      </c>
      <c r="N332" s="159">
        <v>0</v>
      </c>
      <c r="O332" s="159">
        <v>0</v>
      </c>
      <c r="P332" s="159">
        <f>L332</f>
        <v>795184.82</v>
      </c>
      <c r="Q332" s="159">
        <f>L332/H332</f>
        <v>2274.360953007465</v>
      </c>
      <c r="R332" s="161">
        <v>14593.7</v>
      </c>
      <c r="S332" s="4" t="s">
        <v>279</v>
      </c>
      <c r="T332" s="152" t="s">
        <v>231</v>
      </c>
      <c r="U332" s="139"/>
      <c r="V332" s="139">
        <f>L333-'виды работ '!C329</f>
        <v>0</v>
      </c>
    </row>
    <row r="333" spans="1:22" s="138" customFormat="1" ht="12.75" x14ac:dyDescent="0.2">
      <c r="A333" s="12">
        <f>A332+1</f>
        <v>207</v>
      </c>
      <c r="B333" s="5" t="s">
        <v>382</v>
      </c>
      <c r="C333" s="153">
        <v>1959</v>
      </c>
      <c r="D333" s="153"/>
      <c r="E333" s="152" t="s">
        <v>219</v>
      </c>
      <c r="F333" s="153">
        <v>2</v>
      </c>
      <c r="G333" s="153">
        <v>1</v>
      </c>
      <c r="H333" s="161">
        <v>370.6</v>
      </c>
      <c r="I333" s="161">
        <v>362.51</v>
      </c>
      <c r="J333" s="161">
        <v>180.8</v>
      </c>
      <c r="K333" s="165">
        <v>29</v>
      </c>
      <c r="L333" s="161">
        <f>'виды работ '!C329</f>
        <v>2417950.0700000003</v>
      </c>
      <c r="M333" s="159">
        <v>0</v>
      </c>
      <c r="N333" s="159">
        <v>0</v>
      </c>
      <c r="O333" s="159">
        <v>0</v>
      </c>
      <c r="P333" s="159">
        <f>L333</f>
        <v>2417950.0700000003</v>
      </c>
      <c r="Q333" s="159">
        <f>L333/H333</f>
        <v>6524.4200485698875</v>
      </c>
      <c r="R333" s="161">
        <v>14593.7</v>
      </c>
      <c r="S333" s="4" t="s">
        <v>279</v>
      </c>
      <c r="T333" s="152" t="s">
        <v>231</v>
      </c>
      <c r="U333" s="139"/>
      <c r="V333" s="139">
        <f>L334-'виды работ '!C330</f>
        <v>0</v>
      </c>
    </row>
    <row r="334" spans="1:22" s="138" customFormat="1" ht="12.75" x14ac:dyDescent="0.2">
      <c r="A334" s="182" t="s">
        <v>18</v>
      </c>
      <c r="B334" s="182"/>
      <c r="C334" s="163" t="s">
        <v>222</v>
      </c>
      <c r="D334" s="163" t="s">
        <v>222</v>
      </c>
      <c r="E334" s="163" t="s">
        <v>222</v>
      </c>
      <c r="F334" s="163" t="s">
        <v>222</v>
      </c>
      <c r="G334" s="163" t="s">
        <v>222</v>
      </c>
      <c r="H334" s="161">
        <f>SUM(H332:H333)</f>
        <v>720.23</v>
      </c>
      <c r="I334" s="161">
        <f t="shared" ref="I334:P334" si="93">SUM(I332:I333)</f>
        <v>712.34999999999991</v>
      </c>
      <c r="J334" s="161">
        <f t="shared" si="93"/>
        <v>397.08000000000004</v>
      </c>
      <c r="K334" s="165">
        <f t="shared" si="93"/>
        <v>49</v>
      </c>
      <c r="L334" s="161">
        <f>SUM(L332:L333)</f>
        <v>3213134.89</v>
      </c>
      <c r="M334" s="161">
        <f t="shared" si="93"/>
        <v>0</v>
      </c>
      <c r="N334" s="161">
        <f t="shared" si="93"/>
        <v>0</v>
      </c>
      <c r="O334" s="161">
        <f t="shared" si="93"/>
        <v>0</v>
      </c>
      <c r="P334" s="161">
        <f t="shared" si="93"/>
        <v>3213134.89</v>
      </c>
      <c r="Q334" s="159">
        <f>L334/H334</f>
        <v>4461.2622217902617</v>
      </c>
      <c r="R334" s="11" t="s">
        <v>222</v>
      </c>
      <c r="S334" s="4" t="s">
        <v>222</v>
      </c>
      <c r="T334" s="4" t="s">
        <v>222</v>
      </c>
      <c r="U334" s="139"/>
      <c r="V334" s="139">
        <f>L335-'виды работ '!C331</f>
        <v>0</v>
      </c>
    </row>
    <row r="335" spans="1:22" s="230" customFormat="1" ht="12.75" x14ac:dyDescent="0.2">
      <c r="A335" s="181" t="s">
        <v>165</v>
      </c>
      <c r="B335" s="181"/>
      <c r="C335" s="181"/>
      <c r="D335" s="162" t="s">
        <v>222</v>
      </c>
      <c r="E335" s="162" t="s">
        <v>222</v>
      </c>
      <c r="F335" s="162" t="s">
        <v>222</v>
      </c>
      <c r="G335" s="162" t="s">
        <v>222</v>
      </c>
      <c r="H335" s="166">
        <f t="shared" ref="H335:P335" si="94">H309+H313+H317+H320+H327+H330+H334+H324</f>
        <v>37188.86</v>
      </c>
      <c r="I335" s="166">
        <f t="shared" si="94"/>
        <v>31380.539999999997</v>
      </c>
      <c r="J335" s="166">
        <f t="shared" si="94"/>
        <v>25155.190000000002</v>
      </c>
      <c r="K335" s="166">
        <f t="shared" si="94"/>
        <v>1516</v>
      </c>
      <c r="L335" s="166">
        <f t="shared" si="94"/>
        <v>34770425.950000003</v>
      </c>
      <c r="M335" s="166">
        <f t="shared" si="94"/>
        <v>0</v>
      </c>
      <c r="N335" s="166">
        <f t="shared" si="94"/>
        <v>0</v>
      </c>
      <c r="O335" s="166">
        <f t="shared" si="94"/>
        <v>0</v>
      </c>
      <c r="P335" s="166">
        <f t="shared" si="94"/>
        <v>34770425.950000003</v>
      </c>
      <c r="Q335" s="158">
        <f>L335/H335</f>
        <v>934.96885760951</v>
      </c>
      <c r="R335" s="17" t="s">
        <v>222</v>
      </c>
      <c r="S335" s="18" t="s">
        <v>222</v>
      </c>
      <c r="T335" s="18" t="s">
        <v>222</v>
      </c>
      <c r="U335" s="166"/>
      <c r="V335" s="139">
        <f>L336-'виды работ '!C332</f>
        <v>0</v>
      </c>
    </row>
    <row r="336" spans="1:22" s="138" customFormat="1" ht="15" customHeight="1" x14ac:dyDescent="0.2">
      <c r="A336" s="185" t="s">
        <v>60</v>
      </c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V336" s="139">
        <f>L337-'виды работ '!C333</f>
        <v>0</v>
      </c>
    </row>
    <row r="337" spans="1:22" s="138" customFormat="1" ht="15.75" customHeight="1" x14ac:dyDescent="0.2">
      <c r="A337" s="168" t="s">
        <v>61</v>
      </c>
      <c r="B337" s="168"/>
      <c r="C337" s="168"/>
      <c r="D337" s="168"/>
      <c r="E337" s="168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7"/>
      <c r="T337" s="187"/>
      <c r="V337" s="139">
        <f>L338-'виды работ '!C334</f>
        <v>0</v>
      </c>
    </row>
    <row r="338" spans="1:22" s="138" customFormat="1" ht="12.75" x14ac:dyDescent="0.2">
      <c r="A338" s="12">
        <f>A333+1</f>
        <v>208</v>
      </c>
      <c r="B338" s="5" t="s">
        <v>62</v>
      </c>
      <c r="C338" s="13">
        <v>1971</v>
      </c>
      <c r="D338" s="15"/>
      <c r="E338" s="152" t="s">
        <v>223</v>
      </c>
      <c r="F338" s="12">
        <v>5</v>
      </c>
      <c r="G338" s="12">
        <v>8</v>
      </c>
      <c r="H338" s="43">
        <v>7891.3</v>
      </c>
      <c r="I338" s="43">
        <v>5768.9</v>
      </c>
      <c r="J338" s="43">
        <v>5015.6000000000004</v>
      </c>
      <c r="K338" s="160">
        <v>190</v>
      </c>
      <c r="L338" s="161">
        <f>'виды работ '!C334</f>
        <v>21825156.900000002</v>
      </c>
      <c r="M338" s="159">
        <v>0</v>
      </c>
      <c r="N338" s="159">
        <v>0</v>
      </c>
      <c r="O338" s="159">
        <v>0</v>
      </c>
      <c r="P338" s="159">
        <f t="shared" ref="P338:P347" si="95">L338</f>
        <v>21825156.900000002</v>
      </c>
      <c r="Q338" s="159">
        <f t="shared" ref="Q338:Q347" si="96">L338/H338</f>
        <v>2765.7238857982843</v>
      </c>
      <c r="R338" s="161">
        <v>14593.7</v>
      </c>
      <c r="S338" s="4" t="s">
        <v>279</v>
      </c>
      <c r="T338" s="152" t="s">
        <v>231</v>
      </c>
      <c r="V338" s="139">
        <f>L339-'виды работ '!C335</f>
        <v>0</v>
      </c>
    </row>
    <row r="339" spans="1:22" s="138" customFormat="1" ht="15.75" customHeight="1" x14ac:dyDescent="0.2">
      <c r="A339" s="13">
        <f>A338+1</f>
        <v>209</v>
      </c>
      <c r="B339" s="167" t="s">
        <v>592</v>
      </c>
      <c r="C339" s="13">
        <v>1971</v>
      </c>
      <c r="D339" s="15"/>
      <c r="E339" s="152" t="s">
        <v>219</v>
      </c>
      <c r="F339" s="12">
        <v>5</v>
      </c>
      <c r="G339" s="12">
        <v>6</v>
      </c>
      <c r="H339" s="161">
        <v>5952.5</v>
      </c>
      <c r="I339" s="161">
        <v>5657.3</v>
      </c>
      <c r="J339" s="161">
        <v>3034.3</v>
      </c>
      <c r="K339" s="160">
        <v>190</v>
      </c>
      <c r="L339" s="161">
        <f>'виды работ '!C335</f>
        <v>816551</v>
      </c>
      <c r="M339" s="159">
        <v>0</v>
      </c>
      <c r="N339" s="159">
        <v>0</v>
      </c>
      <c r="O339" s="159">
        <v>0</v>
      </c>
      <c r="P339" s="159">
        <f>L339</f>
        <v>816551</v>
      </c>
      <c r="Q339" s="159">
        <f>L339/H339</f>
        <v>137.17782444351113</v>
      </c>
      <c r="R339" s="161">
        <v>14593.7</v>
      </c>
      <c r="S339" s="4" t="s">
        <v>279</v>
      </c>
      <c r="T339" s="152" t="s">
        <v>231</v>
      </c>
      <c r="V339" s="139">
        <f>L340-'виды работ '!C336</f>
        <v>0</v>
      </c>
    </row>
    <row r="340" spans="1:22" s="138" customFormat="1" ht="12.75" x14ac:dyDescent="0.2">
      <c r="A340" s="13">
        <f t="shared" ref="A340:A351" si="97">A339+1</f>
        <v>210</v>
      </c>
      <c r="B340" s="5" t="s">
        <v>63</v>
      </c>
      <c r="C340" s="13">
        <v>1978</v>
      </c>
      <c r="D340" s="15"/>
      <c r="E340" s="152" t="s">
        <v>223</v>
      </c>
      <c r="F340" s="12">
        <v>5</v>
      </c>
      <c r="G340" s="12">
        <v>6</v>
      </c>
      <c r="H340" s="43">
        <v>6156.2</v>
      </c>
      <c r="I340" s="43">
        <v>4640.1000000000004</v>
      </c>
      <c r="J340" s="43">
        <v>4095.3</v>
      </c>
      <c r="K340" s="160">
        <v>192</v>
      </c>
      <c r="L340" s="161">
        <f>'виды работ '!C336</f>
        <v>4096431.03</v>
      </c>
      <c r="M340" s="159">
        <v>0</v>
      </c>
      <c r="N340" s="159">
        <v>0</v>
      </c>
      <c r="O340" s="159">
        <v>0</v>
      </c>
      <c r="P340" s="159">
        <f t="shared" si="95"/>
        <v>4096431.03</v>
      </c>
      <c r="Q340" s="159">
        <f t="shared" si="96"/>
        <v>665.41552093824112</v>
      </c>
      <c r="R340" s="161">
        <v>14593.7</v>
      </c>
      <c r="S340" s="4" t="s">
        <v>279</v>
      </c>
      <c r="T340" s="152" t="s">
        <v>231</v>
      </c>
      <c r="V340" s="139">
        <f>L341-'виды работ '!C337</f>
        <v>0</v>
      </c>
    </row>
    <row r="341" spans="1:22" s="138" customFormat="1" ht="12.75" x14ac:dyDescent="0.2">
      <c r="A341" s="13">
        <f t="shared" si="97"/>
        <v>211</v>
      </c>
      <c r="B341" s="5" t="s">
        <v>383</v>
      </c>
      <c r="C341" s="13">
        <v>1986</v>
      </c>
      <c r="D341" s="15"/>
      <c r="E341" s="152" t="s">
        <v>219</v>
      </c>
      <c r="F341" s="12">
        <v>3</v>
      </c>
      <c r="G341" s="12">
        <v>1</v>
      </c>
      <c r="H341" s="161">
        <v>2424.6999999999998</v>
      </c>
      <c r="I341" s="161">
        <v>1434.6</v>
      </c>
      <c r="J341" s="161">
        <v>673.5</v>
      </c>
      <c r="K341" s="160">
        <v>74</v>
      </c>
      <c r="L341" s="161">
        <f>'виды работ '!C337</f>
        <v>3390578.59</v>
      </c>
      <c r="M341" s="159">
        <v>0</v>
      </c>
      <c r="N341" s="159">
        <v>0</v>
      </c>
      <c r="O341" s="159">
        <v>0</v>
      </c>
      <c r="P341" s="159">
        <f t="shared" si="95"/>
        <v>3390578.59</v>
      </c>
      <c r="Q341" s="159">
        <f t="shared" si="96"/>
        <v>1398.3497298634884</v>
      </c>
      <c r="R341" s="161">
        <v>14593.7</v>
      </c>
      <c r="S341" s="4" t="s">
        <v>279</v>
      </c>
      <c r="T341" s="152" t="s">
        <v>231</v>
      </c>
      <c r="V341" s="139">
        <f>L342-'виды работ '!C338</f>
        <v>0</v>
      </c>
    </row>
    <row r="342" spans="1:22" s="138" customFormat="1" ht="12.75" x14ac:dyDescent="0.2">
      <c r="A342" s="13">
        <f t="shared" si="97"/>
        <v>212</v>
      </c>
      <c r="B342" s="5" t="s">
        <v>384</v>
      </c>
      <c r="C342" s="13">
        <v>1987</v>
      </c>
      <c r="D342" s="15"/>
      <c r="E342" s="152" t="s">
        <v>223</v>
      </c>
      <c r="F342" s="12">
        <v>5</v>
      </c>
      <c r="G342" s="12">
        <v>6</v>
      </c>
      <c r="H342" s="7">
        <v>4983.2999999999993</v>
      </c>
      <c r="I342" s="43">
        <v>4501.3999999999996</v>
      </c>
      <c r="J342" s="43">
        <v>3712.7</v>
      </c>
      <c r="K342" s="160">
        <v>220</v>
      </c>
      <c r="L342" s="161">
        <f>'виды работ '!C338</f>
        <v>5285505</v>
      </c>
      <c r="M342" s="159">
        <v>0</v>
      </c>
      <c r="N342" s="159">
        <v>0</v>
      </c>
      <c r="O342" s="159">
        <v>0</v>
      </c>
      <c r="P342" s="159">
        <f t="shared" si="95"/>
        <v>5285505</v>
      </c>
      <c r="Q342" s="159">
        <f t="shared" si="96"/>
        <v>1060.6435494551804</v>
      </c>
      <c r="R342" s="161">
        <v>14593.7</v>
      </c>
      <c r="S342" s="4" t="s">
        <v>279</v>
      </c>
      <c r="T342" s="152" t="s">
        <v>231</v>
      </c>
      <c r="V342" s="139">
        <f>L343-'виды работ '!C339</f>
        <v>0</v>
      </c>
    </row>
    <row r="343" spans="1:22" s="138" customFormat="1" ht="12.75" x14ac:dyDescent="0.2">
      <c r="A343" s="13">
        <f t="shared" si="97"/>
        <v>213</v>
      </c>
      <c r="B343" s="5" t="s">
        <v>385</v>
      </c>
      <c r="C343" s="13">
        <v>1984</v>
      </c>
      <c r="D343" s="15"/>
      <c r="E343" s="152" t="s">
        <v>223</v>
      </c>
      <c r="F343" s="12">
        <v>5</v>
      </c>
      <c r="G343" s="12">
        <v>4</v>
      </c>
      <c r="H343" s="43">
        <v>4879.1000000000004</v>
      </c>
      <c r="I343" s="43">
        <v>3039.6</v>
      </c>
      <c r="J343" s="43">
        <v>2677.2</v>
      </c>
      <c r="K343" s="160">
        <v>134</v>
      </c>
      <c r="L343" s="161">
        <f>'виды работ '!C339</f>
        <v>4520645.17</v>
      </c>
      <c r="M343" s="159">
        <v>0</v>
      </c>
      <c r="N343" s="159">
        <v>0</v>
      </c>
      <c r="O343" s="159">
        <v>0</v>
      </c>
      <c r="P343" s="159">
        <f t="shared" si="95"/>
        <v>4520645.17</v>
      </c>
      <c r="Q343" s="159">
        <f t="shared" si="96"/>
        <v>926.53259207640747</v>
      </c>
      <c r="R343" s="161">
        <v>14593.7</v>
      </c>
      <c r="S343" s="4" t="s">
        <v>279</v>
      </c>
      <c r="T343" s="152" t="s">
        <v>231</v>
      </c>
      <c r="V343" s="139">
        <f>L344-'виды работ '!C340</f>
        <v>0</v>
      </c>
    </row>
    <row r="344" spans="1:22" s="138" customFormat="1" ht="12.75" x14ac:dyDescent="0.2">
      <c r="A344" s="13">
        <f t="shared" si="97"/>
        <v>214</v>
      </c>
      <c r="B344" s="5" t="s">
        <v>386</v>
      </c>
      <c r="C344" s="13">
        <v>1964</v>
      </c>
      <c r="D344" s="15"/>
      <c r="E344" s="152" t="s">
        <v>219</v>
      </c>
      <c r="F344" s="12">
        <v>5</v>
      </c>
      <c r="G344" s="12">
        <v>4</v>
      </c>
      <c r="H344" s="161">
        <v>4381.2</v>
      </c>
      <c r="I344" s="7">
        <v>3204.5</v>
      </c>
      <c r="J344" s="161">
        <v>2440.1</v>
      </c>
      <c r="K344" s="160">
        <v>102</v>
      </c>
      <c r="L344" s="161">
        <f>'виды работ '!C340</f>
        <v>2991400.56</v>
      </c>
      <c r="M344" s="159">
        <v>0</v>
      </c>
      <c r="N344" s="159">
        <v>0</v>
      </c>
      <c r="O344" s="159">
        <v>0</v>
      </c>
      <c r="P344" s="159">
        <f t="shared" si="95"/>
        <v>2991400.56</v>
      </c>
      <c r="Q344" s="159">
        <f t="shared" si="96"/>
        <v>682.78110106820054</v>
      </c>
      <c r="R344" s="161">
        <v>14593.7</v>
      </c>
      <c r="S344" s="4" t="s">
        <v>279</v>
      </c>
      <c r="T344" s="152" t="s">
        <v>231</v>
      </c>
      <c r="V344" s="139">
        <f>L345-'виды работ '!C341</f>
        <v>0</v>
      </c>
    </row>
    <row r="345" spans="1:22" s="138" customFormat="1" ht="12.75" x14ac:dyDescent="0.2">
      <c r="A345" s="13">
        <f t="shared" si="97"/>
        <v>215</v>
      </c>
      <c r="B345" s="5" t="s">
        <v>387</v>
      </c>
      <c r="C345" s="13">
        <v>1970</v>
      </c>
      <c r="D345" s="15"/>
      <c r="E345" s="152" t="s">
        <v>219</v>
      </c>
      <c r="F345" s="12">
        <v>5</v>
      </c>
      <c r="G345" s="12">
        <v>6</v>
      </c>
      <c r="H345" s="43">
        <v>5849.5</v>
      </c>
      <c r="I345" s="9">
        <v>4185.8999999999996</v>
      </c>
      <c r="J345" s="43">
        <v>3406.2</v>
      </c>
      <c r="K345" s="165">
        <v>167</v>
      </c>
      <c r="L345" s="161">
        <f>'виды работ '!C341</f>
        <v>5228833.07</v>
      </c>
      <c r="M345" s="159">
        <v>0</v>
      </c>
      <c r="N345" s="159">
        <v>0</v>
      </c>
      <c r="O345" s="159">
        <v>0</v>
      </c>
      <c r="P345" s="159">
        <f t="shared" si="95"/>
        <v>5228833.07</v>
      </c>
      <c r="Q345" s="159">
        <f t="shared" si="96"/>
        <v>893.89402000170958</v>
      </c>
      <c r="R345" s="161">
        <v>14593.7</v>
      </c>
      <c r="S345" s="4" t="s">
        <v>279</v>
      </c>
      <c r="T345" s="152" t="s">
        <v>231</v>
      </c>
      <c r="V345" s="139">
        <f>L346-'виды работ '!C342</f>
        <v>0</v>
      </c>
    </row>
    <row r="346" spans="1:22" s="138" customFormat="1" ht="12.75" x14ac:dyDescent="0.2">
      <c r="A346" s="13">
        <f t="shared" si="97"/>
        <v>216</v>
      </c>
      <c r="B346" s="5" t="s">
        <v>388</v>
      </c>
      <c r="C346" s="13">
        <v>1972</v>
      </c>
      <c r="D346" s="15"/>
      <c r="E346" s="152" t="s">
        <v>219</v>
      </c>
      <c r="F346" s="12">
        <v>5</v>
      </c>
      <c r="G346" s="12">
        <v>8</v>
      </c>
      <c r="H346" s="43">
        <v>8111.5</v>
      </c>
      <c r="I346" s="43">
        <v>5781.3</v>
      </c>
      <c r="J346" s="43">
        <v>4679.5</v>
      </c>
      <c r="K346" s="160">
        <v>261</v>
      </c>
      <c r="L346" s="161">
        <f>'виды работ '!C342</f>
        <v>6124914.9000000004</v>
      </c>
      <c r="M346" s="159">
        <v>0</v>
      </c>
      <c r="N346" s="159">
        <v>0</v>
      </c>
      <c r="O346" s="159">
        <v>0</v>
      </c>
      <c r="P346" s="159">
        <f t="shared" si="95"/>
        <v>6124914.9000000004</v>
      </c>
      <c r="Q346" s="159">
        <f t="shared" si="96"/>
        <v>755.09029156136353</v>
      </c>
      <c r="R346" s="161">
        <v>14593.7</v>
      </c>
      <c r="S346" s="4" t="s">
        <v>279</v>
      </c>
      <c r="T346" s="152" t="s">
        <v>231</v>
      </c>
      <c r="V346" s="139">
        <f>L347-'виды работ '!C343</f>
        <v>0</v>
      </c>
    </row>
    <row r="347" spans="1:22" s="138" customFormat="1" ht="12.75" x14ac:dyDescent="0.2">
      <c r="A347" s="13">
        <f t="shared" si="97"/>
        <v>217</v>
      </c>
      <c r="B347" s="5" t="s">
        <v>64</v>
      </c>
      <c r="C347" s="12">
        <v>1984</v>
      </c>
      <c r="D347" s="15"/>
      <c r="E347" s="152" t="s">
        <v>223</v>
      </c>
      <c r="F347" s="12">
        <v>5</v>
      </c>
      <c r="G347" s="12">
        <v>6</v>
      </c>
      <c r="H347" s="43">
        <v>7568.7</v>
      </c>
      <c r="I347" s="43">
        <v>4650.1000000000004</v>
      </c>
      <c r="J347" s="43">
        <v>3955.6</v>
      </c>
      <c r="K347" s="165">
        <v>233</v>
      </c>
      <c r="L347" s="161">
        <f>'виды работ '!C343</f>
        <v>5250897.68</v>
      </c>
      <c r="M347" s="159">
        <v>0</v>
      </c>
      <c r="N347" s="159">
        <v>0</v>
      </c>
      <c r="O347" s="159">
        <v>0</v>
      </c>
      <c r="P347" s="159">
        <f t="shared" si="95"/>
        <v>5250897.68</v>
      </c>
      <c r="Q347" s="159">
        <f t="shared" si="96"/>
        <v>693.76480505238681</v>
      </c>
      <c r="R347" s="161">
        <v>14593.7</v>
      </c>
      <c r="S347" s="4" t="s">
        <v>279</v>
      </c>
      <c r="T347" s="152" t="s">
        <v>231</v>
      </c>
      <c r="V347" s="139">
        <f>L348-'виды работ '!C344</f>
        <v>0</v>
      </c>
    </row>
    <row r="348" spans="1:22" s="138" customFormat="1" ht="12.75" x14ac:dyDescent="0.2">
      <c r="A348" s="13">
        <f t="shared" si="97"/>
        <v>218</v>
      </c>
      <c r="B348" s="5" t="s">
        <v>389</v>
      </c>
      <c r="C348" s="13">
        <v>1983</v>
      </c>
      <c r="D348" s="15"/>
      <c r="E348" s="152" t="s">
        <v>223</v>
      </c>
      <c r="F348" s="12">
        <v>5</v>
      </c>
      <c r="G348" s="12">
        <v>5</v>
      </c>
      <c r="H348" s="161">
        <v>5790.7</v>
      </c>
      <c r="I348" s="161">
        <v>3484.7</v>
      </c>
      <c r="J348" s="161">
        <v>1311.7</v>
      </c>
      <c r="K348" s="160">
        <v>135</v>
      </c>
      <c r="L348" s="159">
        <f>'виды работ '!C344</f>
        <v>911995.65</v>
      </c>
      <c r="M348" s="159">
        <v>0</v>
      </c>
      <c r="N348" s="159">
        <v>0</v>
      </c>
      <c r="O348" s="159">
        <v>0</v>
      </c>
      <c r="P348" s="159">
        <f>L348</f>
        <v>911995.65</v>
      </c>
      <c r="Q348" s="159">
        <f t="shared" ref="Q348:Q353" si="98">L348/H348</f>
        <v>157.49316144852955</v>
      </c>
      <c r="R348" s="161">
        <v>14593.7</v>
      </c>
      <c r="S348" s="4" t="s">
        <v>279</v>
      </c>
      <c r="T348" s="152" t="s">
        <v>231</v>
      </c>
      <c r="V348" s="139">
        <f>L349-'виды работ '!C345</f>
        <v>0</v>
      </c>
    </row>
    <row r="349" spans="1:22" s="138" customFormat="1" ht="12.75" x14ac:dyDescent="0.2">
      <c r="A349" s="13">
        <f t="shared" si="97"/>
        <v>219</v>
      </c>
      <c r="B349" s="5" t="s">
        <v>390</v>
      </c>
      <c r="C349" s="13">
        <v>1963</v>
      </c>
      <c r="D349" s="15"/>
      <c r="E349" s="152" t="s">
        <v>219</v>
      </c>
      <c r="F349" s="12">
        <v>3</v>
      </c>
      <c r="G349" s="12">
        <v>3</v>
      </c>
      <c r="H349" s="161">
        <v>2891</v>
      </c>
      <c r="I349" s="161">
        <v>1498.7</v>
      </c>
      <c r="J349" s="161">
        <v>690.7</v>
      </c>
      <c r="K349" s="160">
        <v>76</v>
      </c>
      <c r="L349" s="159">
        <f>'виды работ '!C345</f>
        <v>1350959.92</v>
      </c>
      <c r="M349" s="159">
        <v>0</v>
      </c>
      <c r="N349" s="159">
        <v>0</v>
      </c>
      <c r="O349" s="159">
        <v>0</v>
      </c>
      <c r="P349" s="159">
        <f>L349</f>
        <v>1350959.92</v>
      </c>
      <c r="Q349" s="159">
        <f t="shared" si="98"/>
        <v>467.29848495330333</v>
      </c>
      <c r="R349" s="161">
        <v>14593.7</v>
      </c>
      <c r="S349" s="4" t="s">
        <v>279</v>
      </c>
      <c r="T349" s="152" t="s">
        <v>231</v>
      </c>
      <c r="V349" s="139">
        <f>L350-'виды работ '!C346</f>
        <v>0</v>
      </c>
    </row>
    <row r="350" spans="1:22" s="138" customFormat="1" ht="12.75" x14ac:dyDescent="0.2">
      <c r="A350" s="13">
        <f t="shared" si="97"/>
        <v>220</v>
      </c>
      <c r="B350" s="5" t="s">
        <v>391</v>
      </c>
      <c r="C350" s="13">
        <v>1988</v>
      </c>
      <c r="D350" s="15"/>
      <c r="E350" s="152" t="s">
        <v>223</v>
      </c>
      <c r="F350" s="12">
        <v>5</v>
      </c>
      <c r="G350" s="12">
        <v>4</v>
      </c>
      <c r="H350" s="43">
        <v>4706.3999999999996</v>
      </c>
      <c r="I350" s="43">
        <v>2798.1</v>
      </c>
      <c r="J350" s="43">
        <v>2560.6</v>
      </c>
      <c r="K350" s="160">
        <v>119</v>
      </c>
      <c r="L350" s="161">
        <f>'виды работ '!C346</f>
        <v>4270682.8</v>
      </c>
      <c r="M350" s="159">
        <v>0</v>
      </c>
      <c r="N350" s="159">
        <v>0</v>
      </c>
      <c r="O350" s="159">
        <v>0</v>
      </c>
      <c r="P350" s="159">
        <f>L350</f>
        <v>4270682.8</v>
      </c>
      <c r="Q350" s="159">
        <f t="shared" si="98"/>
        <v>907.42027876933537</v>
      </c>
      <c r="R350" s="161">
        <v>14593.7</v>
      </c>
      <c r="S350" s="4" t="s">
        <v>279</v>
      </c>
      <c r="T350" s="152" t="s">
        <v>231</v>
      </c>
      <c r="V350" s="139">
        <f>L351-'виды работ '!C347</f>
        <v>0</v>
      </c>
    </row>
    <row r="351" spans="1:22" s="138" customFormat="1" ht="12.75" x14ac:dyDescent="0.2">
      <c r="A351" s="13">
        <f t="shared" si="97"/>
        <v>221</v>
      </c>
      <c r="B351" s="5" t="s">
        <v>392</v>
      </c>
      <c r="C351" s="13">
        <v>1984</v>
      </c>
      <c r="D351" s="15"/>
      <c r="E351" s="152" t="s">
        <v>223</v>
      </c>
      <c r="F351" s="12">
        <v>5</v>
      </c>
      <c r="G351" s="12">
        <v>4</v>
      </c>
      <c r="H351" s="43">
        <v>4817.7</v>
      </c>
      <c r="I351" s="7">
        <v>3237.7000000000003</v>
      </c>
      <c r="J351" s="43">
        <v>2654.5</v>
      </c>
      <c r="K351" s="160">
        <v>144</v>
      </c>
      <c r="L351" s="161">
        <f>'виды работ '!C347</f>
        <v>4091536.51</v>
      </c>
      <c r="M351" s="159">
        <v>0</v>
      </c>
      <c r="N351" s="159">
        <v>0</v>
      </c>
      <c r="O351" s="159">
        <v>0</v>
      </c>
      <c r="P351" s="159">
        <f>L351</f>
        <v>4091536.51</v>
      </c>
      <c r="Q351" s="159">
        <f t="shared" si="98"/>
        <v>849.27175000518923</v>
      </c>
      <c r="R351" s="161">
        <v>14593.7</v>
      </c>
      <c r="S351" s="4" t="s">
        <v>279</v>
      </c>
      <c r="T351" s="152" t="s">
        <v>231</v>
      </c>
      <c r="V351" s="139">
        <f>L352-'виды работ '!C348</f>
        <v>0</v>
      </c>
    </row>
    <row r="352" spans="1:22" s="138" customFormat="1" ht="15" customHeight="1" x14ac:dyDescent="0.2">
      <c r="A352" s="182" t="s">
        <v>18</v>
      </c>
      <c r="B352" s="182"/>
      <c r="C352" s="163" t="s">
        <v>222</v>
      </c>
      <c r="D352" s="163" t="s">
        <v>222</v>
      </c>
      <c r="E352" s="163" t="s">
        <v>222</v>
      </c>
      <c r="F352" s="163" t="s">
        <v>222</v>
      </c>
      <c r="G352" s="163" t="s">
        <v>222</v>
      </c>
      <c r="H352" s="161">
        <f t="shared" ref="H352:P352" si="99">SUM(H338:H351)</f>
        <v>76403.799999999974</v>
      </c>
      <c r="I352" s="161">
        <f t="shared" si="99"/>
        <v>53882.899999999994</v>
      </c>
      <c r="J352" s="161">
        <f t="shared" si="99"/>
        <v>40907.499999999993</v>
      </c>
      <c r="K352" s="165">
        <f t="shared" si="99"/>
        <v>2237</v>
      </c>
      <c r="L352" s="161">
        <f t="shared" si="99"/>
        <v>70156088.780000001</v>
      </c>
      <c r="M352" s="161">
        <f t="shared" si="99"/>
        <v>0</v>
      </c>
      <c r="N352" s="161">
        <f t="shared" si="99"/>
        <v>0</v>
      </c>
      <c r="O352" s="161">
        <f t="shared" si="99"/>
        <v>0</v>
      </c>
      <c r="P352" s="161">
        <f t="shared" si="99"/>
        <v>70156088.780000001</v>
      </c>
      <c r="Q352" s="159">
        <f t="shared" si="98"/>
        <v>918.22774233742336</v>
      </c>
      <c r="R352" s="11" t="s">
        <v>222</v>
      </c>
      <c r="S352" s="4" t="s">
        <v>222</v>
      </c>
      <c r="T352" s="4" t="s">
        <v>222</v>
      </c>
      <c r="U352" s="139"/>
      <c r="V352" s="139">
        <f>L353-'виды работ '!C349</f>
        <v>0</v>
      </c>
    </row>
    <row r="353" spans="1:23" s="230" customFormat="1" ht="15" customHeight="1" x14ac:dyDescent="0.2">
      <c r="A353" s="181" t="s">
        <v>65</v>
      </c>
      <c r="B353" s="181"/>
      <c r="C353" s="181"/>
      <c r="D353" s="162" t="s">
        <v>222</v>
      </c>
      <c r="E353" s="162" t="s">
        <v>222</v>
      </c>
      <c r="F353" s="162" t="s">
        <v>222</v>
      </c>
      <c r="G353" s="162" t="s">
        <v>222</v>
      </c>
      <c r="H353" s="166">
        <f>H352</f>
        <v>76403.799999999974</v>
      </c>
      <c r="I353" s="166">
        <f t="shared" ref="I353:P353" si="100">I352</f>
        <v>53882.899999999994</v>
      </c>
      <c r="J353" s="166">
        <f t="shared" si="100"/>
        <v>40907.499999999993</v>
      </c>
      <c r="K353" s="16">
        <f t="shared" si="100"/>
        <v>2237</v>
      </c>
      <c r="L353" s="166">
        <f>L352</f>
        <v>70156088.780000001</v>
      </c>
      <c r="M353" s="166">
        <f t="shared" si="100"/>
        <v>0</v>
      </c>
      <c r="N353" s="166">
        <f t="shared" si="100"/>
        <v>0</v>
      </c>
      <c r="O353" s="166">
        <f t="shared" si="100"/>
        <v>0</v>
      </c>
      <c r="P353" s="166">
        <f t="shared" si="100"/>
        <v>70156088.780000001</v>
      </c>
      <c r="Q353" s="158">
        <f t="shared" si="98"/>
        <v>918.22774233742336</v>
      </c>
      <c r="R353" s="17" t="s">
        <v>222</v>
      </c>
      <c r="S353" s="18" t="s">
        <v>222</v>
      </c>
      <c r="T353" s="18" t="s">
        <v>222</v>
      </c>
      <c r="U353" s="166"/>
      <c r="V353" s="139">
        <f>L354-'виды работ '!C350</f>
        <v>0</v>
      </c>
      <c r="W353" s="166"/>
    </row>
    <row r="354" spans="1:23" s="138" customFormat="1" ht="15" customHeight="1" x14ac:dyDescent="0.2">
      <c r="A354" s="185" t="s">
        <v>66</v>
      </c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V354" s="139">
        <f>L355-'виды работ '!C351</f>
        <v>0</v>
      </c>
    </row>
    <row r="355" spans="1:23" s="138" customFormat="1" ht="15.75" customHeight="1" x14ac:dyDescent="0.2">
      <c r="A355" s="168" t="s">
        <v>597</v>
      </c>
      <c r="B355" s="168"/>
      <c r="C355" s="168"/>
      <c r="D355" s="168"/>
      <c r="E355" s="168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  <c r="V355" s="139">
        <f>L356-'виды работ '!C352</f>
        <v>0</v>
      </c>
    </row>
    <row r="356" spans="1:23" s="138" customFormat="1" ht="12.75" x14ac:dyDescent="0.2">
      <c r="A356" s="12">
        <f>A351+1</f>
        <v>222</v>
      </c>
      <c r="B356" s="24" t="s">
        <v>598</v>
      </c>
      <c r="C356" s="153">
        <v>1981</v>
      </c>
      <c r="D356" s="153"/>
      <c r="E356" s="152" t="s">
        <v>223</v>
      </c>
      <c r="F356" s="153">
        <v>5</v>
      </c>
      <c r="G356" s="153">
        <v>6</v>
      </c>
      <c r="H356" s="153">
        <v>4862.5</v>
      </c>
      <c r="I356" s="153">
        <v>4862.5</v>
      </c>
      <c r="J356" s="153">
        <v>4014.79</v>
      </c>
      <c r="K356" s="153">
        <v>245</v>
      </c>
      <c r="L356" s="161">
        <f>'виды работ '!C352</f>
        <v>4305923.8000000007</v>
      </c>
      <c r="M356" s="159">
        <v>0</v>
      </c>
      <c r="N356" s="159">
        <v>0</v>
      </c>
      <c r="O356" s="159">
        <v>0</v>
      </c>
      <c r="P356" s="159">
        <f>L356</f>
        <v>4305923.8000000007</v>
      </c>
      <c r="Q356" s="159">
        <f>L356/H356</f>
        <v>885.53702827763516</v>
      </c>
      <c r="R356" s="161">
        <v>14593.7</v>
      </c>
      <c r="S356" s="4" t="s">
        <v>279</v>
      </c>
      <c r="T356" s="152" t="s">
        <v>231</v>
      </c>
      <c r="V356" s="139">
        <f>L357-'виды работ '!C353</f>
        <v>0</v>
      </c>
    </row>
    <row r="357" spans="1:23" s="138" customFormat="1" ht="12.75" x14ac:dyDescent="0.2">
      <c r="A357" s="12">
        <f>A356+1</f>
        <v>223</v>
      </c>
      <c r="B357" s="24" t="s">
        <v>599</v>
      </c>
      <c r="C357" s="153">
        <v>1976</v>
      </c>
      <c r="D357" s="153"/>
      <c r="E357" s="152" t="s">
        <v>223</v>
      </c>
      <c r="F357" s="153">
        <v>5</v>
      </c>
      <c r="G357" s="153">
        <v>6</v>
      </c>
      <c r="H357" s="153">
        <v>4913.6000000000004</v>
      </c>
      <c r="I357" s="153">
        <v>4913.6000000000004</v>
      </c>
      <c r="J357" s="153">
        <v>4052.01</v>
      </c>
      <c r="K357" s="153">
        <v>186</v>
      </c>
      <c r="L357" s="161">
        <f>'виды работ '!C353</f>
        <v>2457320.79</v>
      </c>
      <c r="M357" s="159">
        <v>0</v>
      </c>
      <c r="N357" s="159">
        <v>0</v>
      </c>
      <c r="O357" s="159">
        <v>0</v>
      </c>
      <c r="P357" s="159">
        <f>L357</f>
        <v>2457320.79</v>
      </c>
      <c r="Q357" s="159">
        <f>L357/H357</f>
        <v>500.10598949853465</v>
      </c>
      <c r="R357" s="161">
        <v>14593.7</v>
      </c>
      <c r="S357" s="4" t="s">
        <v>279</v>
      </c>
      <c r="T357" s="152" t="s">
        <v>231</v>
      </c>
      <c r="V357" s="139">
        <f>L358-'виды работ '!C354</f>
        <v>0</v>
      </c>
    </row>
    <row r="358" spans="1:23" s="138" customFormat="1" ht="12.75" x14ac:dyDescent="0.2">
      <c r="A358" s="182" t="s">
        <v>18</v>
      </c>
      <c r="B358" s="182"/>
      <c r="C358" s="163" t="s">
        <v>222</v>
      </c>
      <c r="D358" s="163" t="s">
        <v>222</v>
      </c>
      <c r="E358" s="163" t="s">
        <v>222</v>
      </c>
      <c r="F358" s="163" t="s">
        <v>222</v>
      </c>
      <c r="G358" s="163" t="s">
        <v>222</v>
      </c>
      <c r="H358" s="161">
        <f t="shared" ref="H358:P358" si="101">SUM(H356:H357)</f>
        <v>9776.1</v>
      </c>
      <c r="I358" s="161">
        <f t="shared" si="101"/>
        <v>9776.1</v>
      </c>
      <c r="J358" s="161">
        <f t="shared" si="101"/>
        <v>8066.8</v>
      </c>
      <c r="K358" s="165">
        <f t="shared" si="101"/>
        <v>431</v>
      </c>
      <c r="L358" s="161">
        <f t="shared" si="101"/>
        <v>6763244.5900000008</v>
      </c>
      <c r="M358" s="161">
        <f t="shared" si="101"/>
        <v>0</v>
      </c>
      <c r="N358" s="161">
        <f t="shared" si="101"/>
        <v>0</v>
      </c>
      <c r="O358" s="161">
        <f t="shared" si="101"/>
        <v>0</v>
      </c>
      <c r="P358" s="161">
        <f t="shared" si="101"/>
        <v>6763244.5900000008</v>
      </c>
      <c r="Q358" s="159">
        <f>L358/H358</f>
        <v>691.81417845562146</v>
      </c>
      <c r="R358" s="11" t="s">
        <v>222</v>
      </c>
      <c r="S358" s="4" t="s">
        <v>222</v>
      </c>
      <c r="T358" s="4" t="s">
        <v>222</v>
      </c>
      <c r="U358" s="139"/>
      <c r="V358" s="139">
        <f>L359-'виды работ '!C355</f>
        <v>0</v>
      </c>
    </row>
    <row r="359" spans="1:23" s="138" customFormat="1" ht="12.75" x14ac:dyDescent="0.2">
      <c r="A359" s="168" t="s">
        <v>67</v>
      </c>
      <c r="B359" s="168"/>
      <c r="C359" s="168"/>
      <c r="D359" s="168"/>
      <c r="E359" s="168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39"/>
      <c r="V359" s="139">
        <f>L360-'виды работ '!C356</f>
        <v>0</v>
      </c>
    </row>
    <row r="360" spans="1:23" s="138" customFormat="1" ht="15" customHeight="1" x14ac:dyDescent="0.2">
      <c r="A360" s="13">
        <f>A357+1</f>
        <v>224</v>
      </c>
      <c r="B360" s="5" t="s">
        <v>393</v>
      </c>
      <c r="C360" s="13">
        <v>1957</v>
      </c>
      <c r="D360" s="163"/>
      <c r="E360" s="152" t="s">
        <v>219</v>
      </c>
      <c r="F360" s="13">
        <v>5</v>
      </c>
      <c r="G360" s="13">
        <v>3</v>
      </c>
      <c r="H360" s="161">
        <v>1214.5</v>
      </c>
      <c r="I360" s="161">
        <v>1214.5</v>
      </c>
      <c r="J360" s="161">
        <v>671.5</v>
      </c>
      <c r="K360" s="165">
        <v>30</v>
      </c>
      <c r="L360" s="161">
        <f>'виды работ '!C356</f>
        <v>3441150.7399999998</v>
      </c>
      <c r="M360" s="159">
        <v>0</v>
      </c>
      <c r="N360" s="159">
        <v>0</v>
      </c>
      <c r="O360" s="159">
        <v>0</v>
      </c>
      <c r="P360" s="159">
        <f>L360</f>
        <v>3441150.7399999998</v>
      </c>
      <c r="Q360" s="159">
        <f>L360/H360</f>
        <v>2833.3888349114859</v>
      </c>
      <c r="R360" s="161">
        <v>14593.7</v>
      </c>
      <c r="S360" s="4" t="s">
        <v>279</v>
      </c>
      <c r="T360" s="152" t="s">
        <v>231</v>
      </c>
      <c r="U360" s="139"/>
      <c r="V360" s="139">
        <f>L361-'виды работ '!C357</f>
        <v>0</v>
      </c>
    </row>
    <row r="361" spans="1:23" s="138" customFormat="1" ht="12.75" x14ac:dyDescent="0.2">
      <c r="A361" s="182" t="s">
        <v>18</v>
      </c>
      <c r="B361" s="182"/>
      <c r="C361" s="163" t="s">
        <v>222</v>
      </c>
      <c r="D361" s="163" t="s">
        <v>222</v>
      </c>
      <c r="E361" s="163" t="s">
        <v>222</v>
      </c>
      <c r="F361" s="163" t="s">
        <v>222</v>
      </c>
      <c r="G361" s="163" t="s">
        <v>222</v>
      </c>
      <c r="H361" s="161">
        <f t="shared" ref="H361:P361" si="102">SUM(H360:H360)</f>
        <v>1214.5</v>
      </c>
      <c r="I361" s="161">
        <f t="shared" si="102"/>
        <v>1214.5</v>
      </c>
      <c r="J361" s="161">
        <f t="shared" si="102"/>
        <v>671.5</v>
      </c>
      <c r="K361" s="165">
        <f t="shared" si="102"/>
        <v>30</v>
      </c>
      <c r="L361" s="161">
        <f t="shared" si="102"/>
        <v>3441150.7399999998</v>
      </c>
      <c r="M361" s="161">
        <f t="shared" si="102"/>
        <v>0</v>
      </c>
      <c r="N361" s="161">
        <f t="shared" si="102"/>
        <v>0</v>
      </c>
      <c r="O361" s="161">
        <f t="shared" si="102"/>
        <v>0</v>
      </c>
      <c r="P361" s="161">
        <f t="shared" si="102"/>
        <v>3441150.7399999998</v>
      </c>
      <c r="Q361" s="159">
        <f>L361/H361</f>
        <v>2833.3888349114859</v>
      </c>
      <c r="R361" s="161">
        <v>14593.7</v>
      </c>
      <c r="S361" s="4" t="s">
        <v>279</v>
      </c>
      <c r="T361" s="152" t="s">
        <v>231</v>
      </c>
      <c r="U361" s="139"/>
      <c r="V361" s="139">
        <f>L362-'виды работ '!C358</f>
        <v>0</v>
      </c>
    </row>
    <row r="362" spans="1:23" s="138" customFormat="1" ht="12.75" x14ac:dyDescent="0.2">
      <c r="A362" s="61" t="s">
        <v>185</v>
      </c>
      <c r="B362" s="164"/>
      <c r="C362" s="163"/>
      <c r="D362" s="163"/>
      <c r="E362" s="163"/>
      <c r="F362" s="163"/>
      <c r="G362" s="163"/>
      <c r="H362" s="161"/>
      <c r="I362" s="161"/>
      <c r="J362" s="161"/>
      <c r="K362" s="161"/>
      <c r="L362" s="161"/>
      <c r="M362" s="161"/>
      <c r="N362" s="161"/>
      <c r="O362" s="161"/>
      <c r="P362" s="161"/>
      <c r="Q362" s="159"/>
      <c r="R362" s="161"/>
      <c r="S362" s="4"/>
      <c r="T362" s="152"/>
      <c r="U362" s="139"/>
      <c r="V362" s="139">
        <f>L363-'виды работ '!C359</f>
        <v>0</v>
      </c>
    </row>
    <row r="363" spans="1:23" s="138" customFormat="1" ht="12.75" x14ac:dyDescent="0.2">
      <c r="A363" s="13">
        <f>A360+1</f>
        <v>225</v>
      </c>
      <c r="B363" s="5" t="s">
        <v>186</v>
      </c>
      <c r="C363" s="13">
        <v>1990</v>
      </c>
      <c r="D363" s="163"/>
      <c r="E363" s="152" t="s">
        <v>223</v>
      </c>
      <c r="F363" s="13">
        <v>5</v>
      </c>
      <c r="G363" s="13">
        <v>3</v>
      </c>
      <c r="H363" s="7">
        <v>6048.2</v>
      </c>
      <c r="I363" s="161">
        <v>3595.5</v>
      </c>
      <c r="J363" s="161">
        <v>3004.8</v>
      </c>
      <c r="K363" s="165">
        <v>150</v>
      </c>
      <c r="L363" s="161">
        <f>'виды работ '!C359</f>
        <v>2411660.69</v>
      </c>
      <c r="M363" s="159">
        <v>0</v>
      </c>
      <c r="N363" s="159">
        <v>0</v>
      </c>
      <c r="O363" s="159">
        <v>0</v>
      </c>
      <c r="P363" s="159">
        <f>L363</f>
        <v>2411660.69</v>
      </c>
      <c r="Q363" s="159">
        <f>L363/H363</f>
        <v>398.7402351112728</v>
      </c>
      <c r="R363" s="161">
        <v>14593.7</v>
      </c>
      <c r="S363" s="4" t="s">
        <v>279</v>
      </c>
      <c r="T363" s="152" t="s">
        <v>231</v>
      </c>
      <c r="U363" s="139"/>
      <c r="V363" s="139">
        <f>L364-'виды работ '!C360</f>
        <v>0</v>
      </c>
    </row>
    <row r="364" spans="1:23" s="138" customFormat="1" ht="12.75" x14ac:dyDescent="0.2">
      <c r="A364" s="182" t="s">
        <v>18</v>
      </c>
      <c r="B364" s="182"/>
      <c r="C364" s="163" t="s">
        <v>222</v>
      </c>
      <c r="D364" s="163" t="s">
        <v>222</v>
      </c>
      <c r="E364" s="163" t="s">
        <v>222</v>
      </c>
      <c r="F364" s="163" t="s">
        <v>222</v>
      </c>
      <c r="G364" s="163" t="s">
        <v>222</v>
      </c>
      <c r="H364" s="161">
        <f>SUM(H363)</f>
        <v>6048.2</v>
      </c>
      <c r="I364" s="161">
        <f t="shared" ref="I364:P364" si="103">SUM(I363)</f>
        <v>3595.5</v>
      </c>
      <c r="J364" s="161">
        <f t="shared" si="103"/>
        <v>3004.8</v>
      </c>
      <c r="K364" s="165">
        <f t="shared" si="103"/>
        <v>150</v>
      </c>
      <c r="L364" s="161">
        <f t="shared" si="103"/>
        <v>2411660.69</v>
      </c>
      <c r="M364" s="161">
        <f t="shared" si="103"/>
        <v>0</v>
      </c>
      <c r="N364" s="161">
        <f t="shared" si="103"/>
        <v>0</v>
      </c>
      <c r="O364" s="161">
        <f t="shared" si="103"/>
        <v>0</v>
      </c>
      <c r="P364" s="161">
        <f t="shared" si="103"/>
        <v>2411660.69</v>
      </c>
      <c r="Q364" s="159">
        <f>L364/H364</f>
        <v>398.7402351112728</v>
      </c>
      <c r="R364" s="11" t="s">
        <v>222</v>
      </c>
      <c r="S364" s="4" t="s">
        <v>222</v>
      </c>
      <c r="T364" s="4" t="s">
        <v>222</v>
      </c>
      <c r="U364" s="139"/>
      <c r="V364" s="139">
        <f>L365-'виды работ '!C361</f>
        <v>0</v>
      </c>
    </row>
    <row r="365" spans="1:23" s="138" customFormat="1" ht="12.75" x14ac:dyDescent="0.2">
      <c r="A365" s="168" t="s">
        <v>68</v>
      </c>
      <c r="B365" s="168"/>
      <c r="C365" s="168"/>
      <c r="D365" s="168"/>
      <c r="E365" s="168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7"/>
      <c r="T365" s="187"/>
      <c r="U365" s="139"/>
      <c r="V365" s="139">
        <f>L366-'виды работ '!C362</f>
        <v>0</v>
      </c>
    </row>
    <row r="366" spans="1:23" s="138" customFormat="1" ht="12.75" x14ac:dyDescent="0.2">
      <c r="A366" s="13">
        <f>A363+1</f>
        <v>226</v>
      </c>
      <c r="B366" s="5" t="s">
        <v>394</v>
      </c>
      <c r="C366" s="31">
        <v>1989</v>
      </c>
      <c r="D366" s="31"/>
      <c r="E366" s="152" t="s">
        <v>223</v>
      </c>
      <c r="F366" s="31">
        <v>5</v>
      </c>
      <c r="G366" s="31">
        <v>3</v>
      </c>
      <c r="H366" s="35">
        <v>3620</v>
      </c>
      <c r="I366" s="31">
        <v>1982.5</v>
      </c>
      <c r="J366" s="31">
        <v>1620.3</v>
      </c>
      <c r="K366" s="31">
        <v>169</v>
      </c>
      <c r="L366" s="161">
        <f>'виды работ '!C362</f>
        <v>2543620.5699999998</v>
      </c>
      <c r="M366" s="159">
        <v>0</v>
      </c>
      <c r="N366" s="159">
        <v>0</v>
      </c>
      <c r="O366" s="159">
        <v>0</v>
      </c>
      <c r="P366" s="159">
        <f>L366</f>
        <v>2543620.5699999998</v>
      </c>
      <c r="Q366" s="159">
        <f>L366/H366</f>
        <v>702.65761602209943</v>
      </c>
      <c r="R366" s="161">
        <v>14593.7</v>
      </c>
      <c r="S366" s="4" t="s">
        <v>279</v>
      </c>
      <c r="T366" s="152" t="s">
        <v>231</v>
      </c>
      <c r="U366" s="139"/>
      <c r="V366" s="139">
        <f>L367-'виды работ '!C363</f>
        <v>0</v>
      </c>
    </row>
    <row r="367" spans="1:23" s="138" customFormat="1" ht="12.75" x14ac:dyDescent="0.2">
      <c r="A367" s="13">
        <f>A366+1</f>
        <v>227</v>
      </c>
      <c r="B367" s="5" t="s">
        <v>395</v>
      </c>
      <c r="C367" s="13">
        <v>1965</v>
      </c>
      <c r="D367" s="153"/>
      <c r="E367" s="152" t="s">
        <v>219</v>
      </c>
      <c r="F367" s="153">
        <v>2</v>
      </c>
      <c r="G367" s="153">
        <v>2</v>
      </c>
      <c r="H367" s="161">
        <v>627.29999999999995</v>
      </c>
      <c r="I367" s="161">
        <v>413.9</v>
      </c>
      <c r="J367" s="161">
        <v>171.9</v>
      </c>
      <c r="K367" s="153">
        <v>54</v>
      </c>
      <c r="L367" s="161">
        <f>'виды работ '!C363</f>
        <v>3061158.51</v>
      </c>
      <c r="M367" s="159">
        <v>0</v>
      </c>
      <c r="N367" s="159">
        <v>0</v>
      </c>
      <c r="O367" s="159">
        <v>0</v>
      </c>
      <c r="P367" s="159">
        <f>L367</f>
        <v>3061158.51</v>
      </c>
      <c r="Q367" s="159">
        <f>L367/H367</f>
        <v>4879.8956001912957</v>
      </c>
      <c r="R367" s="161">
        <v>14593.7</v>
      </c>
      <c r="S367" s="4" t="s">
        <v>279</v>
      </c>
      <c r="T367" s="152" t="s">
        <v>231</v>
      </c>
      <c r="U367" s="139"/>
      <c r="V367" s="139">
        <f>L368-'виды работ '!C364</f>
        <v>0</v>
      </c>
    </row>
    <row r="368" spans="1:23" s="138" customFormat="1" ht="12.75" x14ac:dyDescent="0.2">
      <c r="A368" s="13">
        <f>A367+1</f>
        <v>228</v>
      </c>
      <c r="B368" s="5" t="s">
        <v>396</v>
      </c>
      <c r="C368" s="13">
        <v>1971</v>
      </c>
      <c r="D368" s="153"/>
      <c r="E368" s="152" t="s">
        <v>219</v>
      </c>
      <c r="F368" s="153">
        <v>4</v>
      </c>
      <c r="G368" s="153">
        <v>4</v>
      </c>
      <c r="H368" s="161">
        <v>2657.6</v>
      </c>
      <c r="I368" s="161">
        <v>1710</v>
      </c>
      <c r="J368" s="161">
        <v>1555.95</v>
      </c>
      <c r="K368" s="153">
        <v>119</v>
      </c>
      <c r="L368" s="161">
        <f>'виды работ '!C364</f>
        <v>189126.97</v>
      </c>
      <c r="M368" s="159">
        <v>0</v>
      </c>
      <c r="N368" s="159">
        <v>0</v>
      </c>
      <c r="O368" s="159">
        <v>0</v>
      </c>
      <c r="P368" s="159">
        <f>L368</f>
        <v>189126.97</v>
      </c>
      <c r="Q368" s="159">
        <f>L368/H368</f>
        <v>71.164573299217338</v>
      </c>
      <c r="R368" s="161">
        <v>14593.7</v>
      </c>
      <c r="S368" s="4" t="s">
        <v>279</v>
      </c>
      <c r="T368" s="152" t="s">
        <v>231</v>
      </c>
      <c r="U368" s="139"/>
      <c r="V368" s="139">
        <f>L369-'виды работ '!C365</f>
        <v>0</v>
      </c>
    </row>
    <row r="369" spans="1:22" s="138" customFormat="1" ht="12.75" x14ac:dyDescent="0.2">
      <c r="A369" s="182" t="s">
        <v>18</v>
      </c>
      <c r="B369" s="182"/>
      <c r="C369" s="163" t="s">
        <v>222</v>
      </c>
      <c r="D369" s="163" t="s">
        <v>222</v>
      </c>
      <c r="E369" s="163" t="s">
        <v>222</v>
      </c>
      <c r="F369" s="163" t="s">
        <v>222</v>
      </c>
      <c r="G369" s="163" t="s">
        <v>222</v>
      </c>
      <c r="H369" s="161">
        <f>SUM(H366:H368)</f>
        <v>6904.9</v>
      </c>
      <c r="I369" s="161">
        <f t="shared" ref="I369:P369" si="104">SUM(I366:I368)</f>
        <v>4106.3999999999996</v>
      </c>
      <c r="J369" s="161">
        <f t="shared" si="104"/>
        <v>3348.15</v>
      </c>
      <c r="K369" s="165">
        <f t="shared" si="104"/>
        <v>342</v>
      </c>
      <c r="L369" s="161">
        <f>SUM(L366:L368)</f>
        <v>5793906.0499999998</v>
      </c>
      <c r="M369" s="161">
        <f t="shared" si="104"/>
        <v>0</v>
      </c>
      <c r="N369" s="161">
        <f t="shared" si="104"/>
        <v>0</v>
      </c>
      <c r="O369" s="161">
        <f t="shared" si="104"/>
        <v>0</v>
      </c>
      <c r="P369" s="161">
        <f t="shared" si="104"/>
        <v>5793906.0499999998</v>
      </c>
      <c r="Q369" s="159">
        <f>L369/H369</f>
        <v>839.10064591811613</v>
      </c>
      <c r="R369" s="11" t="s">
        <v>222</v>
      </c>
      <c r="S369" s="4" t="s">
        <v>222</v>
      </c>
      <c r="T369" s="4" t="s">
        <v>222</v>
      </c>
      <c r="U369" s="139"/>
      <c r="V369" s="139">
        <f>L370-'виды работ '!C366</f>
        <v>0</v>
      </c>
    </row>
    <row r="370" spans="1:22" s="138" customFormat="1" ht="12.75" x14ac:dyDescent="0.2">
      <c r="A370" s="61" t="s">
        <v>189</v>
      </c>
      <c r="B370" s="164"/>
      <c r="C370" s="163"/>
      <c r="D370" s="163"/>
      <c r="E370" s="163"/>
      <c r="F370" s="163"/>
      <c r="G370" s="163"/>
      <c r="H370" s="161"/>
      <c r="I370" s="161"/>
      <c r="J370" s="161"/>
      <c r="K370" s="161"/>
      <c r="L370" s="161"/>
      <c r="M370" s="161"/>
      <c r="N370" s="161"/>
      <c r="O370" s="161"/>
      <c r="P370" s="161"/>
      <c r="Q370" s="159"/>
      <c r="R370" s="11"/>
      <c r="S370" s="4"/>
      <c r="T370" s="4"/>
      <c r="U370" s="139"/>
      <c r="V370" s="139">
        <f>L371-'виды работ '!C367</f>
        <v>0</v>
      </c>
    </row>
    <row r="371" spans="1:22" s="138" customFormat="1" ht="12.75" x14ac:dyDescent="0.2">
      <c r="A371" s="13">
        <f>A368+1</f>
        <v>229</v>
      </c>
      <c r="B371" s="5" t="s">
        <v>397</v>
      </c>
      <c r="C371" s="13">
        <v>1977</v>
      </c>
      <c r="D371" s="163"/>
      <c r="E371" s="152" t="s">
        <v>219</v>
      </c>
      <c r="F371" s="13">
        <v>5</v>
      </c>
      <c r="G371" s="13">
        <v>5</v>
      </c>
      <c r="H371" s="161">
        <v>3465</v>
      </c>
      <c r="I371" s="161">
        <v>3465</v>
      </c>
      <c r="J371" s="161">
        <v>2064.1</v>
      </c>
      <c r="K371" s="165">
        <v>182</v>
      </c>
      <c r="L371" s="161">
        <f>'виды работ '!C367</f>
        <v>3613441.95</v>
      </c>
      <c r="M371" s="159">
        <v>0</v>
      </c>
      <c r="N371" s="159">
        <v>0</v>
      </c>
      <c r="O371" s="159">
        <v>0</v>
      </c>
      <c r="P371" s="159">
        <f>L371</f>
        <v>3613441.95</v>
      </c>
      <c r="Q371" s="159">
        <f>L371/H371</f>
        <v>1042.8403896103896</v>
      </c>
      <c r="R371" s="161">
        <v>14593.7</v>
      </c>
      <c r="S371" s="4" t="s">
        <v>279</v>
      </c>
      <c r="T371" s="152" t="s">
        <v>231</v>
      </c>
      <c r="U371" s="139"/>
      <c r="V371" s="139">
        <f>L372-'виды работ '!C368</f>
        <v>0</v>
      </c>
    </row>
    <row r="372" spans="1:22" s="138" customFormat="1" ht="12.75" x14ac:dyDescent="0.2">
      <c r="A372" s="13">
        <f>A371+1</f>
        <v>230</v>
      </c>
      <c r="B372" s="5" t="s">
        <v>398</v>
      </c>
      <c r="C372" s="13">
        <v>1981</v>
      </c>
      <c r="D372" s="163"/>
      <c r="E372" s="152" t="s">
        <v>219</v>
      </c>
      <c r="F372" s="13">
        <v>5</v>
      </c>
      <c r="G372" s="13">
        <v>8</v>
      </c>
      <c r="H372" s="161">
        <v>5599.5</v>
      </c>
      <c r="I372" s="161">
        <v>5599.5</v>
      </c>
      <c r="J372" s="161">
        <v>3314.9</v>
      </c>
      <c r="K372" s="165">
        <v>302</v>
      </c>
      <c r="L372" s="161">
        <f>'виды работ '!C368</f>
        <v>5688967.5700000003</v>
      </c>
      <c r="M372" s="159">
        <v>0</v>
      </c>
      <c r="N372" s="159">
        <v>0</v>
      </c>
      <c r="O372" s="159">
        <v>0</v>
      </c>
      <c r="P372" s="159">
        <f>L372</f>
        <v>5688967.5700000003</v>
      </c>
      <c r="Q372" s="159">
        <f>L372/H372</f>
        <v>1015.9777783730691</v>
      </c>
      <c r="R372" s="161">
        <v>14593.7</v>
      </c>
      <c r="S372" s="4" t="s">
        <v>279</v>
      </c>
      <c r="T372" s="152" t="s">
        <v>231</v>
      </c>
      <c r="U372" s="139"/>
      <c r="V372" s="139">
        <f>L373-'виды работ '!C369</f>
        <v>0</v>
      </c>
    </row>
    <row r="373" spans="1:22" s="138" customFormat="1" ht="12.75" x14ac:dyDescent="0.2">
      <c r="A373" s="182" t="s">
        <v>18</v>
      </c>
      <c r="B373" s="182"/>
      <c r="C373" s="163" t="s">
        <v>222</v>
      </c>
      <c r="D373" s="163" t="s">
        <v>222</v>
      </c>
      <c r="E373" s="163" t="s">
        <v>222</v>
      </c>
      <c r="F373" s="163" t="s">
        <v>222</v>
      </c>
      <c r="G373" s="163" t="s">
        <v>222</v>
      </c>
      <c r="H373" s="161">
        <f>SUM(H371:H372)</f>
        <v>9064.5</v>
      </c>
      <c r="I373" s="161">
        <f t="shared" ref="I373:P373" si="105">SUM(I371:I372)</f>
        <v>9064.5</v>
      </c>
      <c r="J373" s="161">
        <f t="shared" si="105"/>
        <v>5379</v>
      </c>
      <c r="K373" s="165">
        <f t="shared" si="105"/>
        <v>484</v>
      </c>
      <c r="L373" s="161">
        <f>SUM(L371:L372)</f>
        <v>9302409.5199999996</v>
      </c>
      <c r="M373" s="161">
        <f t="shared" si="105"/>
        <v>0</v>
      </c>
      <c r="N373" s="161">
        <f t="shared" si="105"/>
        <v>0</v>
      </c>
      <c r="O373" s="161">
        <f t="shared" si="105"/>
        <v>0</v>
      </c>
      <c r="P373" s="161">
        <f t="shared" si="105"/>
        <v>9302409.5199999996</v>
      </c>
      <c r="Q373" s="159">
        <f>L373/H373</f>
        <v>1026.2462926802361</v>
      </c>
      <c r="R373" s="11" t="s">
        <v>222</v>
      </c>
      <c r="S373" s="4" t="s">
        <v>222</v>
      </c>
      <c r="T373" s="4" t="s">
        <v>222</v>
      </c>
      <c r="U373" s="139"/>
      <c r="V373" s="139">
        <f>L374-'виды работ '!C370</f>
        <v>0</v>
      </c>
    </row>
    <row r="374" spans="1:22" s="138" customFormat="1" ht="12.75" x14ac:dyDescent="0.2">
      <c r="A374" s="168" t="s">
        <v>188</v>
      </c>
      <c r="B374" s="168"/>
      <c r="C374" s="168"/>
      <c r="D374" s="168"/>
      <c r="E374" s="168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39"/>
      <c r="V374" s="139">
        <f>L375-'виды работ '!C371</f>
        <v>0</v>
      </c>
    </row>
    <row r="375" spans="1:22" s="138" customFormat="1" ht="12.75" x14ac:dyDescent="0.2">
      <c r="A375" s="13">
        <f>A372+1</f>
        <v>231</v>
      </c>
      <c r="B375" s="5" t="s">
        <v>399</v>
      </c>
      <c r="C375" s="152">
        <v>1967</v>
      </c>
      <c r="D375" s="163"/>
      <c r="E375" s="152" t="s">
        <v>219</v>
      </c>
      <c r="F375" s="13">
        <v>4</v>
      </c>
      <c r="G375" s="13">
        <v>3</v>
      </c>
      <c r="H375" s="159">
        <v>2032.5</v>
      </c>
      <c r="I375" s="161">
        <v>2028.2</v>
      </c>
      <c r="J375" s="161">
        <v>1760.4</v>
      </c>
      <c r="K375" s="165">
        <v>83</v>
      </c>
      <c r="L375" s="161">
        <f>'виды работ '!C371</f>
        <v>975253.97</v>
      </c>
      <c r="M375" s="159">
        <v>0</v>
      </c>
      <c r="N375" s="159">
        <v>0</v>
      </c>
      <c r="O375" s="159">
        <v>0</v>
      </c>
      <c r="P375" s="159">
        <f>L375</f>
        <v>975253.97</v>
      </c>
      <c r="Q375" s="159">
        <f>L375/H375</f>
        <v>479.82975153751534</v>
      </c>
      <c r="R375" s="161">
        <v>14593.7</v>
      </c>
      <c r="S375" s="4" t="s">
        <v>279</v>
      </c>
      <c r="T375" s="152" t="s">
        <v>231</v>
      </c>
      <c r="U375" s="139"/>
      <c r="V375" s="139">
        <f>L376-'виды работ '!C372</f>
        <v>0</v>
      </c>
    </row>
    <row r="376" spans="1:22" s="138" customFormat="1" ht="12.75" x14ac:dyDescent="0.2">
      <c r="A376" s="13">
        <f>A375+1</f>
        <v>232</v>
      </c>
      <c r="B376" s="5" t="s">
        <v>400</v>
      </c>
      <c r="C376" s="152">
        <v>1964</v>
      </c>
      <c r="D376" s="163"/>
      <c r="E376" s="152" t="s">
        <v>219</v>
      </c>
      <c r="F376" s="13">
        <v>3</v>
      </c>
      <c r="G376" s="13">
        <v>2</v>
      </c>
      <c r="H376" s="161">
        <v>953.6</v>
      </c>
      <c r="I376" s="159">
        <v>953.4</v>
      </c>
      <c r="J376" s="161">
        <v>855.7</v>
      </c>
      <c r="K376" s="165">
        <v>33</v>
      </c>
      <c r="L376" s="161">
        <f>'виды работ '!C372</f>
        <v>877765.35000000009</v>
      </c>
      <c r="M376" s="159">
        <v>0</v>
      </c>
      <c r="N376" s="159">
        <v>0</v>
      </c>
      <c r="O376" s="159">
        <v>0</v>
      </c>
      <c r="P376" s="159">
        <f>L376</f>
        <v>877765.35000000009</v>
      </c>
      <c r="Q376" s="159">
        <f>L376/H376</f>
        <v>920.47540897651015</v>
      </c>
      <c r="R376" s="161">
        <v>14593.7</v>
      </c>
      <c r="S376" s="4" t="s">
        <v>279</v>
      </c>
      <c r="T376" s="152" t="s">
        <v>231</v>
      </c>
      <c r="U376" s="139"/>
      <c r="V376" s="139">
        <f>L377-'виды работ '!C373</f>
        <v>0</v>
      </c>
    </row>
    <row r="377" spans="1:22" s="138" customFormat="1" ht="12.75" x14ac:dyDescent="0.2">
      <c r="A377" s="13">
        <f>A376+1</f>
        <v>233</v>
      </c>
      <c r="B377" s="5" t="s">
        <v>401</v>
      </c>
      <c r="C377" s="152">
        <v>1970</v>
      </c>
      <c r="D377" s="163"/>
      <c r="E377" s="152" t="s">
        <v>219</v>
      </c>
      <c r="F377" s="13">
        <v>5</v>
      </c>
      <c r="G377" s="13">
        <v>5</v>
      </c>
      <c r="H377" s="161">
        <v>4857.2</v>
      </c>
      <c r="I377" s="159">
        <v>3582</v>
      </c>
      <c r="J377" s="161">
        <v>3376.4</v>
      </c>
      <c r="K377" s="165">
        <v>143</v>
      </c>
      <c r="L377" s="161">
        <f>'виды работ '!C373</f>
        <v>1914539.5899999999</v>
      </c>
      <c r="M377" s="159">
        <v>0</v>
      </c>
      <c r="N377" s="159">
        <v>0</v>
      </c>
      <c r="O377" s="159">
        <v>0</v>
      </c>
      <c r="P377" s="159">
        <f>L377</f>
        <v>1914539.5899999999</v>
      </c>
      <c r="Q377" s="159">
        <f>L377/H377</f>
        <v>394.16527834966644</v>
      </c>
      <c r="R377" s="161">
        <v>14593.7</v>
      </c>
      <c r="S377" s="4" t="s">
        <v>279</v>
      </c>
      <c r="T377" s="152" t="s">
        <v>231</v>
      </c>
      <c r="U377" s="139"/>
      <c r="V377" s="139">
        <f>L378-'виды работ '!C374</f>
        <v>0</v>
      </c>
    </row>
    <row r="378" spans="1:22" s="138" customFormat="1" ht="12.75" x14ac:dyDescent="0.2">
      <c r="A378" s="13">
        <f>A377+1</f>
        <v>234</v>
      </c>
      <c r="B378" s="5" t="s">
        <v>402</v>
      </c>
      <c r="C378" s="152">
        <v>1980</v>
      </c>
      <c r="D378" s="163"/>
      <c r="E378" s="152" t="s">
        <v>219</v>
      </c>
      <c r="F378" s="13">
        <v>5</v>
      </c>
      <c r="G378" s="13">
        <v>4</v>
      </c>
      <c r="H378" s="161">
        <v>3544.8</v>
      </c>
      <c r="I378" s="161">
        <v>3544.8</v>
      </c>
      <c r="J378" s="159">
        <v>2709</v>
      </c>
      <c r="K378" s="165">
        <v>101</v>
      </c>
      <c r="L378" s="161">
        <f>'виды работ '!C374</f>
        <v>1839391</v>
      </c>
      <c r="M378" s="159">
        <v>0</v>
      </c>
      <c r="N378" s="159">
        <v>0</v>
      </c>
      <c r="O378" s="159">
        <v>0</v>
      </c>
      <c r="P378" s="159">
        <f>L378</f>
        <v>1839391</v>
      </c>
      <c r="Q378" s="159">
        <f>L378/H378</f>
        <v>518.8983863687655</v>
      </c>
      <c r="R378" s="161">
        <v>14593.7</v>
      </c>
      <c r="S378" s="4" t="s">
        <v>279</v>
      </c>
      <c r="T378" s="152" t="s">
        <v>231</v>
      </c>
      <c r="U378" s="139"/>
      <c r="V378" s="139">
        <f>L379-'виды работ '!C375</f>
        <v>0</v>
      </c>
    </row>
    <row r="379" spans="1:22" s="138" customFormat="1" ht="12.75" x14ac:dyDescent="0.2">
      <c r="A379" s="182" t="s">
        <v>18</v>
      </c>
      <c r="B379" s="182"/>
      <c r="C379" s="163" t="s">
        <v>222</v>
      </c>
      <c r="D379" s="163" t="s">
        <v>222</v>
      </c>
      <c r="E379" s="163" t="s">
        <v>222</v>
      </c>
      <c r="F379" s="163" t="s">
        <v>222</v>
      </c>
      <c r="G379" s="163" t="s">
        <v>222</v>
      </c>
      <c r="H379" s="161">
        <f>SUM(H375:H378)</f>
        <v>11388.099999999999</v>
      </c>
      <c r="I379" s="161">
        <f t="shared" ref="I379:P379" si="106">SUM(I375:I378)</f>
        <v>10108.400000000001</v>
      </c>
      <c r="J379" s="161">
        <f t="shared" si="106"/>
        <v>8701.5</v>
      </c>
      <c r="K379" s="165">
        <f t="shared" si="106"/>
        <v>360</v>
      </c>
      <c r="L379" s="161">
        <f>SUM(L375:L378)</f>
        <v>5606949.9100000001</v>
      </c>
      <c r="M379" s="161">
        <f t="shared" si="106"/>
        <v>0</v>
      </c>
      <c r="N379" s="161">
        <f t="shared" si="106"/>
        <v>0</v>
      </c>
      <c r="O379" s="161">
        <f t="shared" si="106"/>
        <v>0</v>
      </c>
      <c r="P379" s="161">
        <f t="shared" si="106"/>
        <v>5606949.9100000001</v>
      </c>
      <c r="Q379" s="159">
        <f>L379/H379</f>
        <v>492.35165743188071</v>
      </c>
      <c r="R379" s="11" t="s">
        <v>222</v>
      </c>
      <c r="S379" s="4" t="s">
        <v>222</v>
      </c>
      <c r="T379" s="4" t="s">
        <v>222</v>
      </c>
      <c r="U379" s="139"/>
      <c r="V379" s="139">
        <f>L380-'виды работ '!C376</f>
        <v>0</v>
      </c>
    </row>
    <row r="380" spans="1:22" s="138" customFormat="1" ht="12.75" x14ac:dyDescent="0.2">
      <c r="A380" s="168" t="s">
        <v>565</v>
      </c>
      <c r="B380" s="168"/>
      <c r="C380" s="168"/>
      <c r="D380" s="168"/>
      <c r="E380" s="168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187"/>
      <c r="R380" s="187"/>
      <c r="S380" s="187"/>
      <c r="T380" s="187"/>
      <c r="U380" s="139"/>
      <c r="V380" s="139">
        <f>L381-'виды работ '!C377</f>
        <v>0</v>
      </c>
    </row>
    <row r="381" spans="1:22" s="138" customFormat="1" ht="12.75" x14ac:dyDescent="0.2">
      <c r="A381" s="13">
        <f>A378+1</f>
        <v>235</v>
      </c>
      <c r="B381" s="155" t="s">
        <v>566</v>
      </c>
      <c r="C381" s="152">
        <v>1965</v>
      </c>
      <c r="D381" s="152"/>
      <c r="E381" s="152" t="s">
        <v>219</v>
      </c>
      <c r="F381" s="152">
        <v>2</v>
      </c>
      <c r="G381" s="152">
        <v>2</v>
      </c>
      <c r="H381" s="159">
        <v>682.9</v>
      </c>
      <c r="I381" s="159">
        <v>2809.9</v>
      </c>
      <c r="J381" s="159">
        <v>235.7</v>
      </c>
      <c r="K381" s="160">
        <v>7</v>
      </c>
      <c r="L381" s="161">
        <f>'виды работ '!C377</f>
        <v>683044.9</v>
      </c>
      <c r="M381" s="159">
        <v>0</v>
      </c>
      <c r="N381" s="159">
        <v>0</v>
      </c>
      <c r="O381" s="159">
        <v>0</v>
      </c>
      <c r="P381" s="159">
        <f>L381</f>
        <v>683044.9</v>
      </c>
      <c r="Q381" s="159">
        <f>L381/H381</f>
        <v>1000.2121833357739</v>
      </c>
      <c r="R381" s="161">
        <v>14593.7</v>
      </c>
      <c r="S381" s="4" t="s">
        <v>279</v>
      </c>
      <c r="T381" s="152" t="s">
        <v>231</v>
      </c>
      <c r="U381" s="139"/>
      <c r="V381" s="139">
        <f>L382-'виды работ '!C378</f>
        <v>0</v>
      </c>
    </row>
    <row r="382" spans="1:22" s="138" customFormat="1" ht="12.75" x14ac:dyDescent="0.2">
      <c r="A382" s="13">
        <f>A381+1</f>
        <v>236</v>
      </c>
      <c r="B382" s="155" t="s">
        <v>567</v>
      </c>
      <c r="C382" s="152">
        <v>1965</v>
      </c>
      <c r="D382" s="152"/>
      <c r="E382" s="152" t="s">
        <v>219</v>
      </c>
      <c r="F382" s="152">
        <v>2</v>
      </c>
      <c r="G382" s="152">
        <v>2</v>
      </c>
      <c r="H382" s="159">
        <v>648.20000000000005</v>
      </c>
      <c r="I382" s="159">
        <v>322.8</v>
      </c>
      <c r="J382" s="159">
        <v>263.8</v>
      </c>
      <c r="K382" s="160">
        <v>25</v>
      </c>
      <c r="L382" s="161">
        <f>'виды работ '!C378</f>
        <v>861762.6</v>
      </c>
      <c r="M382" s="159">
        <v>0</v>
      </c>
      <c r="N382" s="159">
        <v>0</v>
      </c>
      <c r="O382" s="159">
        <v>0</v>
      </c>
      <c r="P382" s="159">
        <f>L382</f>
        <v>861762.6</v>
      </c>
      <c r="Q382" s="159">
        <f>L382/H382</f>
        <v>1329.4702252391237</v>
      </c>
      <c r="R382" s="161">
        <v>14593.7</v>
      </c>
      <c r="S382" s="4" t="s">
        <v>279</v>
      </c>
      <c r="T382" s="152" t="s">
        <v>231</v>
      </c>
      <c r="U382" s="139"/>
      <c r="V382" s="139">
        <f>L383-'виды работ '!C379</f>
        <v>0</v>
      </c>
    </row>
    <row r="383" spans="1:22" s="138" customFormat="1" ht="12.75" x14ac:dyDescent="0.2">
      <c r="A383" s="182" t="s">
        <v>18</v>
      </c>
      <c r="B383" s="182"/>
      <c r="C383" s="163" t="s">
        <v>222</v>
      </c>
      <c r="D383" s="163" t="s">
        <v>222</v>
      </c>
      <c r="E383" s="163" t="s">
        <v>222</v>
      </c>
      <c r="F383" s="163" t="s">
        <v>222</v>
      </c>
      <c r="G383" s="163" t="s">
        <v>222</v>
      </c>
      <c r="H383" s="161">
        <f>SUM(H381:H382)</f>
        <v>1331.1</v>
      </c>
      <c r="I383" s="161">
        <f t="shared" ref="I383:P383" si="107">SUM(I381:I382)</f>
        <v>3132.7000000000003</v>
      </c>
      <c r="J383" s="161">
        <f t="shared" si="107"/>
        <v>499.5</v>
      </c>
      <c r="K383" s="165">
        <f t="shared" si="107"/>
        <v>32</v>
      </c>
      <c r="L383" s="161">
        <f t="shared" si="107"/>
        <v>1544807.5</v>
      </c>
      <c r="M383" s="161">
        <f t="shared" si="107"/>
        <v>0</v>
      </c>
      <c r="N383" s="161">
        <f t="shared" si="107"/>
        <v>0</v>
      </c>
      <c r="O383" s="161">
        <f t="shared" si="107"/>
        <v>0</v>
      </c>
      <c r="P383" s="161">
        <f t="shared" si="107"/>
        <v>1544807.5</v>
      </c>
      <c r="Q383" s="159">
        <f>L383/H383</f>
        <v>1160.5495454886936</v>
      </c>
      <c r="R383" s="11" t="s">
        <v>222</v>
      </c>
      <c r="S383" s="4" t="s">
        <v>222</v>
      </c>
      <c r="T383" s="4" t="s">
        <v>222</v>
      </c>
      <c r="U383" s="139"/>
      <c r="V383" s="139">
        <f>L384-'виды работ '!C380</f>
        <v>0</v>
      </c>
    </row>
    <row r="384" spans="1:22" s="230" customFormat="1" ht="12.75" x14ac:dyDescent="0.2">
      <c r="A384" s="181" t="s">
        <v>69</v>
      </c>
      <c r="B384" s="181"/>
      <c r="C384" s="181"/>
      <c r="D384" s="162" t="s">
        <v>222</v>
      </c>
      <c r="E384" s="162" t="s">
        <v>222</v>
      </c>
      <c r="F384" s="162" t="s">
        <v>222</v>
      </c>
      <c r="G384" s="162" t="s">
        <v>222</v>
      </c>
      <c r="H384" s="166">
        <f>H358+H361+H364+H369+H373+H379+H383</f>
        <v>45727.399999999994</v>
      </c>
      <c r="I384" s="166">
        <f t="shared" ref="I384:P384" si="108">I358+I361+I364+I369+I373+I379+I383</f>
        <v>40998.1</v>
      </c>
      <c r="J384" s="166">
        <f t="shared" si="108"/>
        <v>29671.25</v>
      </c>
      <c r="K384" s="16">
        <f t="shared" si="108"/>
        <v>1829</v>
      </c>
      <c r="L384" s="166">
        <f>L358+L361+L364+L369+L373+L379+L383</f>
        <v>34864129</v>
      </c>
      <c r="M384" s="166">
        <f t="shared" si="108"/>
        <v>0</v>
      </c>
      <c r="N384" s="166">
        <f t="shared" si="108"/>
        <v>0</v>
      </c>
      <c r="O384" s="166">
        <f t="shared" si="108"/>
        <v>0</v>
      </c>
      <c r="P384" s="166">
        <f t="shared" si="108"/>
        <v>34864129</v>
      </c>
      <c r="Q384" s="158">
        <f>L384/H384</f>
        <v>762.43409859296628</v>
      </c>
      <c r="R384" s="17" t="s">
        <v>222</v>
      </c>
      <c r="S384" s="18" t="s">
        <v>222</v>
      </c>
      <c r="T384" s="18" t="s">
        <v>222</v>
      </c>
      <c r="U384" s="166"/>
      <c r="V384" s="139">
        <f>L385-'виды работ '!C381</f>
        <v>0</v>
      </c>
    </row>
    <row r="385" spans="1:22" s="138" customFormat="1" ht="15" customHeight="1" x14ac:dyDescent="0.2">
      <c r="A385" s="185" t="s">
        <v>70</v>
      </c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V385" s="139">
        <f>L386-'виды работ '!C382</f>
        <v>0</v>
      </c>
    </row>
    <row r="386" spans="1:22" s="138" customFormat="1" ht="15" customHeight="1" x14ac:dyDescent="0.2">
      <c r="A386" s="168" t="s">
        <v>71</v>
      </c>
      <c r="B386" s="168"/>
      <c r="C386" s="168"/>
      <c r="D386" s="168"/>
      <c r="E386" s="168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V386" s="139">
        <f>L387-'виды работ '!C383</f>
        <v>0</v>
      </c>
    </row>
    <row r="387" spans="1:22" s="138" customFormat="1" ht="15" customHeight="1" x14ac:dyDescent="0.2">
      <c r="A387" s="13">
        <f>A382+1</f>
        <v>237</v>
      </c>
      <c r="B387" s="5" t="s">
        <v>403</v>
      </c>
      <c r="C387" s="7">
        <v>1961</v>
      </c>
      <c r="D387" s="153"/>
      <c r="E387" s="152" t="s">
        <v>346</v>
      </c>
      <c r="F387" s="153">
        <v>2</v>
      </c>
      <c r="G387" s="153">
        <v>2</v>
      </c>
      <c r="H387" s="161">
        <v>711.9</v>
      </c>
      <c r="I387" s="161">
        <v>711.9</v>
      </c>
      <c r="J387" s="161">
        <v>464.9</v>
      </c>
      <c r="K387" s="62">
        <v>21</v>
      </c>
      <c r="L387" s="159">
        <f>'виды работ '!C383</f>
        <v>381181.98</v>
      </c>
      <c r="M387" s="159">
        <v>0</v>
      </c>
      <c r="N387" s="159">
        <v>0</v>
      </c>
      <c r="O387" s="159">
        <v>0</v>
      </c>
      <c r="P387" s="159">
        <f t="shared" ref="P387:P393" si="109">L387</f>
        <v>381181.98</v>
      </c>
      <c r="Q387" s="159">
        <f t="shared" ref="Q387:Q394" si="110">L387/H387</f>
        <v>535.44315212810784</v>
      </c>
      <c r="R387" s="161">
        <v>14593.7</v>
      </c>
      <c r="S387" s="4" t="s">
        <v>279</v>
      </c>
      <c r="T387" s="152" t="s">
        <v>231</v>
      </c>
      <c r="V387" s="139">
        <f>L388-'виды работ '!C384</f>
        <v>0</v>
      </c>
    </row>
    <row r="388" spans="1:22" s="138" customFormat="1" ht="15" customHeight="1" x14ac:dyDescent="0.2">
      <c r="A388" s="13">
        <f t="shared" ref="A388:A393" si="111">A387+1</f>
        <v>238</v>
      </c>
      <c r="B388" s="5" t="s">
        <v>404</v>
      </c>
      <c r="C388" s="152">
        <v>1961</v>
      </c>
      <c r="D388" s="153"/>
      <c r="E388" s="152" t="s">
        <v>346</v>
      </c>
      <c r="F388" s="153">
        <v>2</v>
      </c>
      <c r="G388" s="153">
        <v>2</v>
      </c>
      <c r="H388" s="161">
        <v>711.9</v>
      </c>
      <c r="I388" s="161">
        <v>711.9</v>
      </c>
      <c r="J388" s="161">
        <v>464.9</v>
      </c>
      <c r="K388" s="160">
        <v>22</v>
      </c>
      <c r="L388" s="159">
        <f>'виды работ '!C384</f>
        <v>3242429.25</v>
      </c>
      <c r="M388" s="159">
        <v>0</v>
      </c>
      <c r="N388" s="159">
        <v>0</v>
      </c>
      <c r="O388" s="159">
        <v>0</v>
      </c>
      <c r="P388" s="159">
        <f t="shared" si="109"/>
        <v>3242429.25</v>
      </c>
      <c r="Q388" s="159">
        <f t="shared" si="110"/>
        <v>4554.6133586177839</v>
      </c>
      <c r="R388" s="161">
        <v>14593.7</v>
      </c>
      <c r="S388" s="4" t="s">
        <v>279</v>
      </c>
      <c r="T388" s="152" t="s">
        <v>231</v>
      </c>
      <c r="V388" s="139">
        <f>L389-'виды работ '!C385</f>
        <v>0</v>
      </c>
    </row>
    <row r="389" spans="1:22" s="138" customFormat="1" ht="15" customHeight="1" x14ac:dyDescent="0.2">
      <c r="A389" s="13">
        <f t="shared" si="111"/>
        <v>239</v>
      </c>
      <c r="B389" s="5" t="s">
        <v>405</v>
      </c>
      <c r="C389" s="153">
        <v>1960</v>
      </c>
      <c r="D389" s="153"/>
      <c r="E389" s="152" t="s">
        <v>346</v>
      </c>
      <c r="F389" s="153">
        <v>2</v>
      </c>
      <c r="G389" s="153">
        <v>2</v>
      </c>
      <c r="H389" s="161">
        <v>711.9</v>
      </c>
      <c r="I389" s="161">
        <v>711.9</v>
      </c>
      <c r="J389" s="161">
        <v>464.9</v>
      </c>
      <c r="K389" s="165">
        <v>23</v>
      </c>
      <c r="L389" s="159">
        <f>'виды работ '!C385</f>
        <v>3242429.25</v>
      </c>
      <c r="M389" s="159">
        <v>0</v>
      </c>
      <c r="N389" s="159">
        <v>0</v>
      </c>
      <c r="O389" s="159">
        <v>0</v>
      </c>
      <c r="P389" s="159">
        <f t="shared" si="109"/>
        <v>3242429.25</v>
      </c>
      <c r="Q389" s="159">
        <f t="shared" si="110"/>
        <v>4554.6133586177839</v>
      </c>
      <c r="R389" s="161">
        <v>14593.7</v>
      </c>
      <c r="S389" s="4" t="s">
        <v>279</v>
      </c>
      <c r="T389" s="152" t="s">
        <v>231</v>
      </c>
      <c r="V389" s="139">
        <f>L390-'виды работ '!C386</f>
        <v>0</v>
      </c>
    </row>
    <row r="390" spans="1:22" s="138" customFormat="1" ht="15" customHeight="1" x14ac:dyDescent="0.2">
      <c r="A390" s="13">
        <f t="shared" si="111"/>
        <v>240</v>
      </c>
      <c r="B390" s="5" t="s">
        <v>406</v>
      </c>
      <c r="C390" s="152">
        <v>1960</v>
      </c>
      <c r="D390" s="153"/>
      <c r="E390" s="152" t="s">
        <v>346</v>
      </c>
      <c r="F390" s="153">
        <v>2</v>
      </c>
      <c r="G390" s="153">
        <v>2</v>
      </c>
      <c r="H390" s="161">
        <v>711.9</v>
      </c>
      <c r="I390" s="161">
        <v>711.9</v>
      </c>
      <c r="J390" s="161">
        <v>464.9</v>
      </c>
      <c r="K390" s="160">
        <v>19</v>
      </c>
      <c r="L390" s="159">
        <f>'виды работ '!C386</f>
        <v>504817.19999999995</v>
      </c>
      <c r="M390" s="159">
        <v>0</v>
      </c>
      <c r="N390" s="159">
        <v>0</v>
      </c>
      <c r="O390" s="159">
        <v>0</v>
      </c>
      <c r="P390" s="159">
        <f t="shared" si="109"/>
        <v>504817.19999999995</v>
      </c>
      <c r="Q390" s="159">
        <f t="shared" si="110"/>
        <v>709.11251580278122</v>
      </c>
      <c r="R390" s="161">
        <v>14593.7</v>
      </c>
      <c r="S390" s="4" t="s">
        <v>279</v>
      </c>
      <c r="T390" s="152" t="s">
        <v>231</v>
      </c>
      <c r="V390" s="139">
        <f>L391-'виды работ '!C387</f>
        <v>0</v>
      </c>
    </row>
    <row r="391" spans="1:22" s="138" customFormat="1" ht="15" customHeight="1" x14ac:dyDescent="0.2">
      <c r="A391" s="13">
        <f t="shared" si="111"/>
        <v>241</v>
      </c>
      <c r="B391" s="5" t="s">
        <v>407</v>
      </c>
      <c r="C391" s="153">
        <v>1960</v>
      </c>
      <c r="D391" s="153"/>
      <c r="E391" s="152" t="s">
        <v>346</v>
      </c>
      <c r="F391" s="153">
        <v>2</v>
      </c>
      <c r="G391" s="153">
        <v>2</v>
      </c>
      <c r="H391" s="161">
        <v>711.9</v>
      </c>
      <c r="I391" s="161">
        <v>711.9</v>
      </c>
      <c r="J391" s="161">
        <v>464.9</v>
      </c>
      <c r="K391" s="165">
        <v>25</v>
      </c>
      <c r="L391" s="159">
        <f>'виды работ '!C387</f>
        <v>504817.19999999995</v>
      </c>
      <c r="M391" s="159">
        <v>0</v>
      </c>
      <c r="N391" s="159">
        <v>0</v>
      </c>
      <c r="O391" s="159">
        <v>0</v>
      </c>
      <c r="P391" s="159">
        <f t="shared" si="109"/>
        <v>504817.19999999995</v>
      </c>
      <c r="Q391" s="159">
        <f t="shared" si="110"/>
        <v>709.11251580278122</v>
      </c>
      <c r="R391" s="161">
        <v>14593.7</v>
      </c>
      <c r="S391" s="4" t="s">
        <v>279</v>
      </c>
      <c r="T391" s="152" t="s">
        <v>231</v>
      </c>
      <c r="V391" s="139">
        <f>L392-'виды работ '!C388</f>
        <v>0</v>
      </c>
    </row>
    <row r="392" spans="1:22" s="138" customFormat="1" ht="15" customHeight="1" x14ac:dyDescent="0.2">
      <c r="A392" s="13">
        <f t="shared" si="111"/>
        <v>242</v>
      </c>
      <c r="B392" s="5" t="s">
        <v>408</v>
      </c>
      <c r="C392" s="7">
        <v>1960</v>
      </c>
      <c r="D392" s="153"/>
      <c r="E392" s="152" t="s">
        <v>346</v>
      </c>
      <c r="F392" s="153">
        <v>2</v>
      </c>
      <c r="G392" s="153">
        <v>2</v>
      </c>
      <c r="H392" s="161">
        <v>711.9</v>
      </c>
      <c r="I392" s="161">
        <v>711.9</v>
      </c>
      <c r="J392" s="161">
        <v>464.9</v>
      </c>
      <c r="K392" s="62">
        <v>24</v>
      </c>
      <c r="L392" s="159">
        <f>'виды работ '!C388</f>
        <v>3241989.93</v>
      </c>
      <c r="M392" s="159">
        <v>0</v>
      </c>
      <c r="N392" s="159">
        <v>0</v>
      </c>
      <c r="O392" s="159">
        <v>0</v>
      </c>
      <c r="P392" s="159">
        <f t="shared" si="109"/>
        <v>3241989.93</v>
      </c>
      <c r="Q392" s="159">
        <f t="shared" si="110"/>
        <v>4553.9962494732408</v>
      </c>
      <c r="R392" s="161">
        <v>14593.7</v>
      </c>
      <c r="S392" s="4" t="s">
        <v>279</v>
      </c>
      <c r="T392" s="152" t="s">
        <v>231</v>
      </c>
      <c r="V392" s="139">
        <f>L393-'виды работ '!C389</f>
        <v>0</v>
      </c>
    </row>
    <row r="393" spans="1:22" s="138" customFormat="1" ht="15" customHeight="1" x14ac:dyDescent="0.2">
      <c r="A393" s="13">
        <f t="shared" si="111"/>
        <v>243</v>
      </c>
      <c r="B393" s="5" t="s">
        <v>409</v>
      </c>
      <c r="C393" s="7">
        <v>1960</v>
      </c>
      <c r="D393" s="153"/>
      <c r="E393" s="152" t="s">
        <v>346</v>
      </c>
      <c r="F393" s="153">
        <v>2</v>
      </c>
      <c r="G393" s="153">
        <v>2</v>
      </c>
      <c r="H393" s="161">
        <v>711.9</v>
      </c>
      <c r="I393" s="161">
        <v>711.9</v>
      </c>
      <c r="J393" s="161">
        <v>464.9</v>
      </c>
      <c r="K393" s="62">
        <v>23</v>
      </c>
      <c r="L393" s="159">
        <f>'виды работ '!C389</f>
        <v>504817.19999999995</v>
      </c>
      <c r="M393" s="159">
        <v>0</v>
      </c>
      <c r="N393" s="159">
        <v>0</v>
      </c>
      <c r="O393" s="159">
        <v>0</v>
      </c>
      <c r="P393" s="159">
        <f t="shared" si="109"/>
        <v>504817.19999999995</v>
      </c>
      <c r="Q393" s="159">
        <f t="shared" si="110"/>
        <v>709.11251580278122</v>
      </c>
      <c r="R393" s="161">
        <v>14593.7</v>
      </c>
      <c r="S393" s="4" t="s">
        <v>279</v>
      </c>
      <c r="T393" s="152" t="s">
        <v>231</v>
      </c>
      <c r="U393" s="139"/>
      <c r="V393" s="139">
        <f>L394-'виды работ '!C390</f>
        <v>0</v>
      </c>
    </row>
    <row r="394" spans="1:22" s="138" customFormat="1" ht="15" customHeight="1" x14ac:dyDescent="0.2">
      <c r="A394" s="182" t="s">
        <v>18</v>
      </c>
      <c r="B394" s="182"/>
      <c r="C394" s="163" t="s">
        <v>222</v>
      </c>
      <c r="D394" s="163" t="s">
        <v>222</v>
      </c>
      <c r="E394" s="163" t="s">
        <v>222</v>
      </c>
      <c r="F394" s="163" t="s">
        <v>222</v>
      </c>
      <c r="G394" s="163" t="s">
        <v>222</v>
      </c>
      <c r="H394" s="159">
        <f>SUM(H387:H393)</f>
        <v>4983.2999999999993</v>
      </c>
      <c r="I394" s="159">
        <f t="shared" ref="I394:P394" si="112">SUM(I387:I393)</f>
        <v>4983.2999999999993</v>
      </c>
      <c r="J394" s="159">
        <f t="shared" si="112"/>
        <v>3254.3</v>
      </c>
      <c r="K394" s="160">
        <f t="shared" si="112"/>
        <v>157</v>
      </c>
      <c r="L394" s="159">
        <f>SUM(L387:L393)</f>
        <v>11622482.01</v>
      </c>
      <c r="M394" s="159">
        <f t="shared" si="112"/>
        <v>0</v>
      </c>
      <c r="N394" s="159">
        <f t="shared" si="112"/>
        <v>0</v>
      </c>
      <c r="O394" s="159">
        <f t="shared" si="112"/>
        <v>0</v>
      </c>
      <c r="P394" s="159">
        <f t="shared" si="112"/>
        <v>11622482.01</v>
      </c>
      <c r="Q394" s="159">
        <f t="shared" si="110"/>
        <v>2332.2862380350375</v>
      </c>
      <c r="R394" s="11" t="s">
        <v>222</v>
      </c>
      <c r="S394" s="4" t="s">
        <v>222</v>
      </c>
      <c r="T394" s="4" t="s">
        <v>222</v>
      </c>
      <c r="U394" s="139"/>
      <c r="V394" s="139">
        <f>L395-'виды работ '!C391</f>
        <v>0</v>
      </c>
    </row>
    <row r="395" spans="1:22" s="138" customFormat="1" ht="15.75" customHeight="1" x14ac:dyDescent="0.2">
      <c r="A395" s="168" t="s">
        <v>72</v>
      </c>
      <c r="B395" s="168"/>
      <c r="C395" s="168"/>
      <c r="D395" s="168"/>
      <c r="E395" s="168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  <c r="Q395" s="187"/>
      <c r="R395" s="187"/>
      <c r="S395" s="187"/>
      <c r="T395" s="187"/>
      <c r="U395" s="139"/>
      <c r="V395" s="139">
        <f>L396-'виды работ '!C392</f>
        <v>0</v>
      </c>
    </row>
    <row r="396" spans="1:22" s="138" customFormat="1" ht="15.75" customHeight="1" x14ac:dyDescent="0.2">
      <c r="A396" s="13">
        <f>A393+1</f>
        <v>244</v>
      </c>
      <c r="B396" s="5" t="s">
        <v>410</v>
      </c>
      <c r="C396" s="152">
        <v>1965</v>
      </c>
      <c r="D396" s="152"/>
      <c r="E396" s="152" t="s">
        <v>219</v>
      </c>
      <c r="F396" s="152">
        <v>2</v>
      </c>
      <c r="G396" s="152">
        <v>2</v>
      </c>
      <c r="H396" s="152">
        <v>664.6</v>
      </c>
      <c r="I396" s="152">
        <v>634.70000000000005</v>
      </c>
      <c r="J396" s="152">
        <v>327.9</v>
      </c>
      <c r="K396" s="152">
        <v>31</v>
      </c>
      <c r="L396" s="161">
        <f>'виды работ '!C392</f>
        <v>1203454.2996</v>
      </c>
      <c r="M396" s="159">
        <v>0</v>
      </c>
      <c r="N396" s="159">
        <v>0</v>
      </c>
      <c r="O396" s="159">
        <v>0</v>
      </c>
      <c r="P396" s="159">
        <f t="shared" ref="P396:P401" si="113">L396</f>
        <v>1203454.2996</v>
      </c>
      <c r="Q396" s="159">
        <f t="shared" ref="Q396:Q401" si="114">L396/H396</f>
        <v>1810.79491363226</v>
      </c>
      <c r="R396" s="161">
        <v>14593.7</v>
      </c>
      <c r="S396" s="4" t="s">
        <v>279</v>
      </c>
      <c r="T396" s="152" t="s">
        <v>231</v>
      </c>
      <c r="U396" s="139"/>
      <c r="V396" s="139">
        <f>L397-'виды работ '!C393</f>
        <v>0</v>
      </c>
    </row>
    <row r="397" spans="1:22" s="138" customFormat="1" ht="15.75" customHeight="1" x14ac:dyDescent="0.2">
      <c r="A397" s="13">
        <f>A396+1</f>
        <v>245</v>
      </c>
      <c r="B397" s="5" t="s">
        <v>411</v>
      </c>
      <c r="C397" s="152">
        <v>1969</v>
      </c>
      <c r="D397" s="152"/>
      <c r="E397" s="152" t="s">
        <v>219</v>
      </c>
      <c r="F397" s="152">
        <v>2</v>
      </c>
      <c r="G397" s="152">
        <v>2</v>
      </c>
      <c r="H397" s="152">
        <v>570.29999999999995</v>
      </c>
      <c r="I397" s="152" t="s">
        <v>232</v>
      </c>
      <c r="J397" s="152">
        <v>268.7</v>
      </c>
      <c r="K397" s="152">
        <v>33</v>
      </c>
      <c r="L397" s="161">
        <f>'виды работ '!C393</f>
        <v>1248128.8</v>
      </c>
      <c r="M397" s="159">
        <v>0</v>
      </c>
      <c r="N397" s="159">
        <v>0</v>
      </c>
      <c r="O397" s="159">
        <v>0</v>
      </c>
      <c r="P397" s="159">
        <f t="shared" si="113"/>
        <v>1248128.8</v>
      </c>
      <c r="Q397" s="159">
        <f t="shared" si="114"/>
        <v>2188.547781869192</v>
      </c>
      <c r="R397" s="161">
        <v>14593.7</v>
      </c>
      <c r="S397" s="4" t="s">
        <v>279</v>
      </c>
      <c r="T397" s="152" t="s">
        <v>231</v>
      </c>
      <c r="U397" s="139"/>
      <c r="V397" s="139">
        <f>L398-'виды работ '!C394</f>
        <v>0</v>
      </c>
    </row>
    <row r="398" spans="1:22" s="138" customFormat="1" ht="15.75" customHeight="1" x14ac:dyDescent="0.2">
      <c r="A398" s="13">
        <f t="shared" ref="A398:A405" si="115">A397+1</f>
        <v>246</v>
      </c>
      <c r="B398" s="5" t="s">
        <v>412</v>
      </c>
      <c r="C398" s="152">
        <v>1966</v>
      </c>
      <c r="D398" s="152"/>
      <c r="E398" s="152" t="s">
        <v>219</v>
      </c>
      <c r="F398" s="152">
        <v>2</v>
      </c>
      <c r="G398" s="152">
        <v>2</v>
      </c>
      <c r="H398" s="152">
        <v>549.6</v>
      </c>
      <c r="I398" s="152">
        <v>525.20000000000005</v>
      </c>
      <c r="J398" s="152">
        <v>340.9</v>
      </c>
      <c r="K398" s="152">
        <v>24</v>
      </c>
      <c r="L398" s="161">
        <f>'виды работ '!C394</f>
        <v>1247256.19</v>
      </c>
      <c r="M398" s="159">
        <v>0</v>
      </c>
      <c r="N398" s="159">
        <v>0</v>
      </c>
      <c r="O398" s="159">
        <v>0</v>
      </c>
      <c r="P398" s="159">
        <f t="shared" si="113"/>
        <v>1247256.19</v>
      </c>
      <c r="Q398" s="159">
        <f t="shared" si="114"/>
        <v>2269.3889919941776</v>
      </c>
      <c r="R398" s="161">
        <v>14593.7</v>
      </c>
      <c r="S398" s="4" t="s">
        <v>279</v>
      </c>
      <c r="T398" s="152" t="s">
        <v>231</v>
      </c>
      <c r="U398" s="139"/>
      <c r="V398" s="139">
        <f>L399-'виды работ '!C395</f>
        <v>0</v>
      </c>
    </row>
    <row r="399" spans="1:22" s="138" customFormat="1" ht="12.75" x14ac:dyDescent="0.2">
      <c r="A399" s="13">
        <f t="shared" si="115"/>
        <v>247</v>
      </c>
      <c r="B399" s="5" t="s">
        <v>413</v>
      </c>
      <c r="C399" s="152">
        <v>1967</v>
      </c>
      <c r="D399" s="152"/>
      <c r="E399" s="152" t="s">
        <v>219</v>
      </c>
      <c r="F399" s="152">
        <v>2</v>
      </c>
      <c r="G399" s="152">
        <v>2</v>
      </c>
      <c r="H399" s="152">
        <v>530</v>
      </c>
      <c r="I399" s="152">
        <v>505.4</v>
      </c>
      <c r="J399" s="152">
        <v>349.5</v>
      </c>
      <c r="K399" s="152">
        <v>22</v>
      </c>
      <c r="L399" s="159">
        <f>'виды работ '!C395</f>
        <v>1247256.19</v>
      </c>
      <c r="M399" s="159">
        <v>0</v>
      </c>
      <c r="N399" s="159">
        <v>0</v>
      </c>
      <c r="O399" s="159">
        <v>0</v>
      </c>
      <c r="P399" s="159">
        <f t="shared" si="113"/>
        <v>1247256.19</v>
      </c>
      <c r="Q399" s="159">
        <f t="shared" si="114"/>
        <v>2353.3135660377357</v>
      </c>
      <c r="R399" s="161">
        <v>14593.7</v>
      </c>
      <c r="S399" s="4" t="s">
        <v>279</v>
      </c>
      <c r="T399" s="152" t="s">
        <v>231</v>
      </c>
      <c r="U399" s="139"/>
      <c r="V399" s="139">
        <f>L400-'виды работ '!C396</f>
        <v>0</v>
      </c>
    </row>
    <row r="400" spans="1:22" s="138" customFormat="1" ht="15.75" customHeight="1" x14ac:dyDescent="0.2">
      <c r="A400" s="13">
        <f t="shared" si="115"/>
        <v>248</v>
      </c>
      <c r="B400" s="5" t="s">
        <v>73</v>
      </c>
      <c r="C400" s="152">
        <v>1965</v>
      </c>
      <c r="D400" s="152"/>
      <c r="E400" s="152" t="s">
        <v>219</v>
      </c>
      <c r="F400" s="152">
        <v>2</v>
      </c>
      <c r="G400" s="152">
        <v>2</v>
      </c>
      <c r="H400" s="159">
        <v>649.79999999999995</v>
      </c>
      <c r="I400" s="159">
        <v>625</v>
      </c>
      <c r="J400" s="159">
        <v>542.6</v>
      </c>
      <c r="K400" s="160">
        <v>31</v>
      </c>
      <c r="L400" s="161">
        <f>'виды работ '!C396</f>
        <v>517095.01</v>
      </c>
      <c r="M400" s="159">
        <v>0</v>
      </c>
      <c r="N400" s="159">
        <v>0</v>
      </c>
      <c r="O400" s="159">
        <v>0</v>
      </c>
      <c r="P400" s="159">
        <f t="shared" si="113"/>
        <v>517095.01</v>
      </c>
      <c r="Q400" s="159">
        <f t="shared" si="114"/>
        <v>795.77563865804871</v>
      </c>
      <c r="R400" s="161">
        <v>14593.7</v>
      </c>
      <c r="S400" s="4" t="s">
        <v>279</v>
      </c>
      <c r="T400" s="152" t="s">
        <v>231</v>
      </c>
      <c r="U400" s="139"/>
      <c r="V400" s="139">
        <f>L401-'виды работ '!C397</f>
        <v>0</v>
      </c>
    </row>
    <row r="401" spans="1:22" s="138" customFormat="1" ht="12.75" x14ac:dyDescent="0.2">
      <c r="A401" s="13">
        <f t="shared" si="115"/>
        <v>249</v>
      </c>
      <c r="B401" s="5" t="s">
        <v>414</v>
      </c>
      <c r="C401" s="152">
        <v>1945</v>
      </c>
      <c r="D401" s="152"/>
      <c r="E401" s="152" t="s">
        <v>219</v>
      </c>
      <c r="F401" s="152">
        <v>2</v>
      </c>
      <c r="G401" s="152">
        <v>1</v>
      </c>
      <c r="H401" s="152">
        <v>399.5</v>
      </c>
      <c r="I401" s="152">
        <v>339.1</v>
      </c>
      <c r="J401" s="152">
        <v>201.8</v>
      </c>
      <c r="K401" s="152">
        <v>15</v>
      </c>
      <c r="L401" s="159">
        <f>'виды работ '!C397</f>
        <v>452917.70999999996</v>
      </c>
      <c r="M401" s="159">
        <v>0</v>
      </c>
      <c r="N401" s="159">
        <v>0</v>
      </c>
      <c r="O401" s="159">
        <v>0</v>
      </c>
      <c r="P401" s="159">
        <f t="shared" si="113"/>
        <v>452917.70999999996</v>
      </c>
      <c r="Q401" s="159">
        <f t="shared" si="114"/>
        <v>1133.7114142678347</v>
      </c>
      <c r="R401" s="161">
        <v>14593.7</v>
      </c>
      <c r="S401" s="4" t="s">
        <v>279</v>
      </c>
      <c r="T401" s="152" t="s">
        <v>231</v>
      </c>
      <c r="U401" s="139"/>
      <c r="V401" s="139">
        <f>L402-'виды работ '!C398</f>
        <v>0</v>
      </c>
    </row>
    <row r="402" spans="1:22" s="138" customFormat="1" ht="15.75" customHeight="1" x14ac:dyDescent="0.2">
      <c r="A402" s="13">
        <f t="shared" si="115"/>
        <v>250</v>
      </c>
      <c r="B402" s="5" t="s">
        <v>74</v>
      </c>
      <c r="C402" s="152">
        <v>1963</v>
      </c>
      <c r="D402" s="152"/>
      <c r="E402" s="152" t="s">
        <v>219</v>
      </c>
      <c r="F402" s="152">
        <v>2</v>
      </c>
      <c r="G402" s="152">
        <v>2</v>
      </c>
      <c r="H402" s="159">
        <v>428.1</v>
      </c>
      <c r="I402" s="159">
        <v>387.7</v>
      </c>
      <c r="J402" s="159">
        <v>284</v>
      </c>
      <c r="K402" s="160">
        <v>21</v>
      </c>
      <c r="L402" s="161">
        <f>'виды работ '!C398</f>
        <v>453576.25</v>
      </c>
      <c r="M402" s="159">
        <v>0</v>
      </c>
      <c r="N402" s="159">
        <v>0</v>
      </c>
      <c r="O402" s="159">
        <v>0</v>
      </c>
      <c r="P402" s="159">
        <f>L402</f>
        <v>453576.25</v>
      </c>
      <c r="Q402" s="159">
        <f>L402/H402</f>
        <v>1059.5100443821536</v>
      </c>
      <c r="R402" s="161">
        <v>14593.7</v>
      </c>
      <c r="S402" s="4" t="s">
        <v>279</v>
      </c>
      <c r="T402" s="152" t="s">
        <v>231</v>
      </c>
      <c r="U402" s="139"/>
      <c r="V402" s="139">
        <f>L403-'виды работ '!C399</f>
        <v>0</v>
      </c>
    </row>
    <row r="403" spans="1:22" s="138" customFormat="1" ht="15.75" customHeight="1" x14ac:dyDescent="0.2">
      <c r="A403" s="13">
        <f t="shared" si="115"/>
        <v>251</v>
      </c>
      <c r="B403" s="5" t="s">
        <v>75</v>
      </c>
      <c r="C403" s="152">
        <v>1930</v>
      </c>
      <c r="D403" s="152"/>
      <c r="E403" s="152" t="s">
        <v>219</v>
      </c>
      <c r="F403" s="152">
        <v>2</v>
      </c>
      <c r="G403" s="152">
        <v>2</v>
      </c>
      <c r="H403" s="159">
        <v>366.9</v>
      </c>
      <c r="I403" s="159">
        <v>328.3</v>
      </c>
      <c r="J403" s="159">
        <v>202.3</v>
      </c>
      <c r="K403" s="160">
        <v>17</v>
      </c>
      <c r="L403" s="161">
        <f>'виды работ '!C399</f>
        <v>1751431.27</v>
      </c>
      <c r="M403" s="159">
        <v>0</v>
      </c>
      <c r="N403" s="159">
        <v>0</v>
      </c>
      <c r="O403" s="159">
        <v>0</v>
      </c>
      <c r="P403" s="159">
        <f>L403</f>
        <v>1751431.27</v>
      </c>
      <c r="Q403" s="159">
        <f>L403/H403</f>
        <v>4773.5929953665855</v>
      </c>
      <c r="R403" s="161">
        <v>14593.7</v>
      </c>
      <c r="S403" s="4" t="s">
        <v>279</v>
      </c>
      <c r="T403" s="152" t="s">
        <v>231</v>
      </c>
      <c r="U403" s="139"/>
      <c r="V403" s="139">
        <f>L404-'виды работ '!C400</f>
        <v>0</v>
      </c>
    </row>
    <row r="404" spans="1:22" s="138" customFormat="1" ht="12.75" x14ac:dyDescent="0.2">
      <c r="A404" s="13">
        <f t="shared" si="115"/>
        <v>252</v>
      </c>
      <c r="B404" s="5" t="s">
        <v>415</v>
      </c>
      <c r="C404" s="152">
        <v>1963</v>
      </c>
      <c r="D404" s="152"/>
      <c r="E404" s="152" t="s">
        <v>219</v>
      </c>
      <c r="F404" s="152">
        <v>2</v>
      </c>
      <c r="G404" s="152">
        <v>2</v>
      </c>
      <c r="H404" s="152">
        <v>440.5</v>
      </c>
      <c r="I404" s="152">
        <v>401.5</v>
      </c>
      <c r="J404" s="152">
        <v>302.60000000000002</v>
      </c>
      <c r="K404" s="152">
        <v>18</v>
      </c>
      <c r="L404" s="159">
        <f>'виды работ '!C400</f>
        <v>453576.25</v>
      </c>
      <c r="M404" s="159">
        <v>0</v>
      </c>
      <c r="N404" s="159">
        <v>0</v>
      </c>
      <c r="O404" s="159">
        <v>0</v>
      </c>
      <c r="P404" s="159">
        <f>L404</f>
        <v>453576.25</v>
      </c>
      <c r="Q404" s="159">
        <f>L404/H404</f>
        <v>1029.6850170261066</v>
      </c>
      <c r="R404" s="161">
        <v>14593.7</v>
      </c>
      <c r="S404" s="4" t="s">
        <v>279</v>
      </c>
      <c r="T404" s="152" t="s">
        <v>231</v>
      </c>
      <c r="U404" s="139"/>
      <c r="V404" s="139">
        <f>L405-'виды работ '!C401</f>
        <v>0</v>
      </c>
    </row>
    <row r="405" spans="1:22" s="138" customFormat="1" ht="12.75" x14ac:dyDescent="0.2">
      <c r="A405" s="13">
        <f t="shared" si="115"/>
        <v>253</v>
      </c>
      <c r="B405" s="5" t="s">
        <v>416</v>
      </c>
      <c r="C405" s="152">
        <v>1962</v>
      </c>
      <c r="D405" s="152"/>
      <c r="E405" s="152" t="s">
        <v>219</v>
      </c>
      <c r="F405" s="152">
        <v>2</v>
      </c>
      <c r="G405" s="152">
        <v>2</v>
      </c>
      <c r="H405" s="152">
        <v>419.4</v>
      </c>
      <c r="I405" s="152">
        <v>379.8</v>
      </c>
      <c r="J405" s="152">
        <v>337.7</v>
      </c>
      <c r="K405" s="152">
        <v>31</v>
      </c>
      <c r="L405" s="159">
        <f>'виды работ '!C401</f>
        <v>453576.25</v>
      </c>
      <c r="M405" s="159">
        <v>0</v>
      </c>
      <c r="N405" s="159">
        <v>0</v>
      </c>
      <c r="O405" s="159">
        <v>0</v>
      </c>
      <c r="P405" s="159">
        <f>L405</f>
        <v>453576.25</v>
      </c>
      <c r="Q405" s="159">
        <f>L405/H405</f>
        <v>1081.4884358607535</v>
      </c>
      <c r="R405" s="161">
        <v>14593.7</v>
      </c>
      <c r="S405" s="4" t="s">
        <v>279</v>
      </c>
      <c r="T405" s="152" t="s">
        <v>231</v>
      </c>
      <c r="U405" s="139"/>
      <c r="V405" s="139">
        <f>L406-'виды работ '!C402</f>
        <v>0</v>
      </c>
    </row>
    <row r="406" spans="1:22" s="138" customFormat="1" ht="16.5" customHeight="1" x14ac:dyDescent="0.2">
      <c r="A406" s="182" t="s">
        <v>18</v>
      </c>
      <c r="B406" s="182"/>
      <c r="C406" s="163" t="s">
        <v>222</v>
      </c>
      <c r="D406" s="163" t="s">
        <v>222</v>
      </c>
      <c r="E406" s="163" t="s">
        <v>222</v>
      </c>
      <c r="F406" s="163" t="s">
        <v>222</v>
      </c>
      <c r="G406" s="163" t="s">
        <v>222</v>
      </c>
      <c r="H406" s="159">
        <f>SUM(H396:H405)</f>
        <v>5018.7</v>
      </c>
      <c r="I406" s="159">
        <f t="shared" ref="I406:P406" si="116">SUM(I396:I405)</f>
        <v>4126.7</v>
      </c>
      <c r="J406" s="159">
        <f t="shared" si="116"/>
        <v>3157.9999999999995</v>
      </c>
      <c r="K406" s="160">
        <f t="shared" si="116"/>
        <v>243</v>
      </c>
      <c r="L406" s="159">
        <f>SUM(L396:L405)</f>
        <v>9028268.2195999995</v>
      </c>
      <c r="M406" s="159">
        <f t="shared" si="116"/>
        <v>0</v>
      </c>
      <c r="N406" s="159">
        <f t="shared" si="116"/>
        <v>0</v>
      </c>
      <c r="O406" s="159">
        <f t="shared" si="116"/>
        <v>0</v>
      </c>
      <c r="P406" s="159">
        <f t="shared" si="116"/>
        <v>9028268.2195999995</v>
      </c>
      <c r="Q406" s="159">
        <f>L406/H406</f>
        <v>1798.9256619443281</v>
      </c>
      <c r="R406" s="11" t="s">
        <v>222</v>
      </c>
      <c r="S406" s="4" t="s">
        <v>222</v>
      </c>
      <c r="T406" s="4" t="s">
        <v>222</v>
      </c>
      <c r="U406" s="139"/>
      <c r="V406" s="139">
        <f>L407-'виды работ '!C403</f>
        <v>0</v>
      </c>
    </row>
    <row r="407" spans="1:22" s="138" customFormat="1" ht="15.75" customHeight="1" x14ac:dyDescent="0.2">
      <c r="A407" s="168" t="s">
        <v>76</v>
      </c>
      <c r="B407" s="168"/>
      <c r="C407" s="168"/>
      <c r="D407" s="168"/>
      <c r="E407" s="168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39"/>
      <c r="V407" s="139">
        <f>L408-'виды работ '!C404</f>
        <v>0</v>
      </c>
    </row>
    <row r="408" spans="1:22" s="138" customFormat="1" ht="12.75" x14ac:dyDescent="0.2">
      <c r="A408" s="13">
        <f>A405+1</f>
        <v>254</v>
      </c>
      <c r="B408" s="5" t="s">
        <v>417</v>
      </c>
      <c r="C408" s="152">
        <v>1936</v>
      </c>
      <c r="D408" s="152"/>
      <c r="E408" s="152" t="s">
        <v>219</v>
      </c>
      <c r="F408" s="152">
        <v>4</v>
      </c>
      <c r="G408" s="152">
        <v>3</v>
      </c>
      <c r="H408" s="159">
        <v>2260.5</v>
      </c>
      <c r="I408" s="159">
        <v>2048.6999999999998</v>
      </c>
      <c r="J408" s="159">
        <v>1127.2</v>
      </c>
      <c r="K408" s="160">
        <v>100</v>
      </c>
      <c r="L408" s="161">
        <f>'виды работ '!C404</f>
        <v>345188.8</v>
      </c>
      <c r="M408" s="159">
        <v>0</v>
      </c>
      <c r="N408" s="159">
        <v>0</v>
      </c>
      <c r="O408" s="159">
        <v>0</v>
      </c>
      <c r="P408" s="159">
        <f>L408</f>
        <v>345188.8</v>
      </c>
      <c r="Q408" s="159">
        <f t="shared" ref="Q408:Q413" si="117">L408/H408</f>
        <v>152.70462287104621</v>
      </c>
      <c r="R408" s="161">
        <v>14593.7</v>
      </c>
      <c r="S408" s="4" t="s">
        <v>279</v>
      </c>
      <c r="T408" s="152" t="s">
        <v>231</v>
      </c>
      <c r="U408" s="139"/>
      <c r="V408" s="139">
        <f>L409-'виды работ '!C405</f>
        <v>0</v>
      </c>
    </row>
    <row r="409" spans="1:22" s="138" customFormat="1" ht="15.75" customHeight="1" x14ac:dyDescent="0.2">
      <c r="A409" s="13">
        <f>A408+1</f>
        <v>255</v>
      </c>
      <c r="B409" s="155" t="s">
        <v>569</v>
      </c>
      <c r="C409" s="152">
        <v>1986</v>
      </c>
      <c r="D409" s="152"/>
      <c r="E409" s="152" t="s">
        <v>218</v>
      </c>
      <c r="F409" s="152" t="s">
        <v>585</v>
      </c>
      <c r="G409" s="152">
        <v>5</v>
      </c>
      <c r="H409" s="159">
        <v>10281.799999999999</v>
      </c>
      <c r="I409" s="159">
        <v>7700.4</v>
      </c>
      <c r="J409" s="159">
        <v>4180.8</v>
      </c>
      <c r="K409" s="160">
        <v>312</v>
      </c>
      <c r="L409" s="159">
        <f>'виды работ '!C405</f>
        <v>1442761.6400000001</v>
      </c>
      <c r="M409" s="159">
        <v>0</v>
      </c>
      <c r="N409" s="159">
        <v>0</v>
      </c>
      <c r="O409" s="159">
        <v>0</v>
      </c>
      <c r="P409" s="159">
        <f>L409</f>
        <v>1442761.6400000001</v>
      </c>
      <c r="Q409" s="159">
        <f t="shared" si="117"/>
        <v>140.32189305374547</v>
      </c>
      <c r="R409" s="161">
        <v>14593.7</v>
      </c>
      <c r="S409" s="4" t="s">
        <v>279</v>
      </c>
      <c r="T409" s="152" t="s">
        <v>231</v>
      </c>
      <c r="U409" s="139"/>
      <c r="V409" s="139">
        <f>L410-'виды работ '!C406</f>
        <v>0</v>
      </c>
    </row>
    <row r="410" spans="1:22" s="138" customFormat="1" ht="12.75" x14ac:dyDescent="0.2">
      <c r="A410" s="13">
        <f>A409+1</f>
        <v>256</v>
      </c>
      <c r="B410" s="5" t="s">
        <v>418</v>
      </c>
      <c r="C410" s="152">
        <v>1967</v>
      </c>
      <c r="D410" s="152"/>
      <c r="E410" s="152" t="s">
        <v>223</v>
      </c>
      <c r="F410" s="13">
        <v>5</v>
      </c>
      <c r="G410" s="152">
        <v>3</v>
      </c>
      <c r="H410" s="161">
        <v>3115.1</v>
      </c>
      <c r="I410" s="161">
        <v>2548</v>
      </c>
      <c r="J410" s="161">
        <v>2451.4</v>
      </c>
      <c r="K410" s="165">
        <v>114</v>
      </c>
      <c r="L410" s="161">
        <f>'виды работ '!C406</f>
        <v>1445281.17</v>
      </c>
      <c r="M410" s="159">
        <v>0</v>
      </c>
      <c r="N410" s="159">
        <v>0</v>
      </c>
      <c r="O410" s="159">
        <v>0</v>
      </c>
      <c r="P410" s="159">
        <f>L410</f>
        <v>1445281.17</v>
      </c>
      <c r="Q410" s="159">
        <f t="shared" si="117"/>
        <v>463.9597990433694</v>
      </c>
      <c r="R410" s="161">
        <v>14593.7</v>
      </c>
      <c r="S410" s="4" t="s">
        <v>279</v>
      </c>
      <c r="T410" s="152" t="s">
        <v>231</v>
      </c>
      <c r="U410" s="139"/>
      <c r="V410" s="139">
        <f>L411-'виды работ '!C407</f>
        <v>0</v>
      </c>
    </row>
    <row r="411" spans="1:22" s="138" customFormat="1" ht="12.75" x14ac:dyDescent="0.2">
      <c r="A411" s="13">
        <f>A410+1</f>
        <v>257</v>
      </c>
      <c r="B411" s="5" t="s">
        <v>419</v>
      </c>
      <c r="C411" s="152">
        <v>1965</v>
      </c>
      <c r="D411" s="152"/>
      <c r="E411" s="152" t="s">
        <v>223</v>
      </c>
      <c r="F411" s="152">
        <v>5</v>
      </c>
      <c r="G411" s="152">
        <v>4</v>
      </c>
      <c r="H411" s="159">
        <v>4270</v>
      </c>
      <c r="I411" s="159">
        <v>3546</v>
      </c>
      <c r="J411" s="159">
        <v>3135.8</v>
      </c>
      <c r="K411" s="160">
        <v>158</v>
      </c>
      <c r="L411" s="161">
        <f>'виды работ '!C407</f>
        <v>2846512.88</v>
      </c>
      <c r="M411" s="159">
        <v>0</v>
      </c>
      <c r="N411" s="159">
        <v>0</v>
      </c>
      <c r="O411" s="159">
        <v>0</v>
      </c>
      <c r="P411" s="159">
        <f>L411</f>
        <v>2846512.88</v>
      </c>
      <c r="Q411" s="159">
        <f t="shared" si="117"/>
        <v>666.6306510538642</v>
      </c>
      <c r="R411" s="161">
        <v>14593.7</v>
      </c>
      <c r="S411" s="4" t="s">
        <v>279</v>
      </c>
      <c r="T411" s="152" t="s">
        <v>231</v>
      </c>
      <c r="U411" s="139"/>
      <c r="V411" s="139">
        <f>L412-'виды работ '!C408</f>
        <v>0</v>
      </c>
    </row>
    <row r="412" spans="1:22" s="138" customFormat="1" ht="15.75" customHeight="1" x14ac:dyDescent="0.2">
      <c r="A412" s="13">
        <f>A411+1</f>
        <v>258</v>
      </c>
      <c r="B412" s="155" t="s">
        <v>570</v>
      </c>
      <c r="C412" s="152">
        <v>1968</v>
      </c>
      <c r="D412" s="152"/>
      <c r="E412" s="152" t="s">
        <v>219</v>
      </c>
      <c r="F412" s="152">
        <v>5</v>
      </c>
      <c r="G412" s="152">
        <v>4</v>
      </c>
      <c r="H412" s="159">
        <v>4370.8999999999996</v>
      </c>
      <c r="I412" s="159">
        <v>2745.1</v>
      </c>
      <c r="J412" s="159">
        <v>1822.2</v>
      </c>
      <c r="K412" s="160">
        <v>119</v>
      </c>
      <c r="L412" s="159">
        <f>'виды работ '!C408</f>
        <v>772681</v>
      </c>
      <c r="M412" s="159">
        <v>0</v>
      </c>
      <c r="N412" s="159">
        <v>0</v>
      </c>
      <c r="O412" s="159">
        <v>0</v>
      </c>
      <c r="P412" s="159">
        <f>L412</f>
        <v>772681</v>
      </c>
      <c r="Q412" s="159">
        <f t="shared" si="117"/>
        <v>176.77846667734335</v>
      </c>
      <c r="R412" s="161">
        <v>14593.7</v>
      </c>
      <c r="S412" s="4" t="s">
        <v>279</v>
      </c>
      <c r="T412" s="152" t="s">
        <v>231</v>
      </c>
      <c r="U412" s="139"/>
      <c r="V412" s="139">
        <f>L413-'виды работ '!C409</f>
        <v>0</v>
      </c>
    </row>
    <row r="413" spans="1:22" s="138" customFormat="1" ht="12.75" x14ac:dyDescent="0.2">
      <c r="A413" s="182" t="s">
        <v>18</v>
      </c>
      <c r="B413" s="182"/>
      <c r="C413" s="163" t="s">
        <v>222</v>
      </c>
      <c r="D413" s="163" t="s">
        <v>222</v>
      </c>
      <c r="E413" s="163" t="s">
        <v>222</v>
      </c>
      <c r="F413" s="163" t="s">
        <v>222</v>
      </c>
      <c r="G413" s="163" t="s">
        <v>222</v>
      </c>
      <c r="H413" s="161">
        <f>SUM(H408:H412)</f>
        <v>24298.300000000003</v>
      </c>
      <c r="I413" s="161">
        <f t="shared" ref="I413:P413" si="118">SUM(I408:I412)</f>
        <v>18588.199999999997</v>
      </c>
      <c r="J413" s="161">
        <f t="shared" si="118"/>
        <v>12717.400000000001</v>
      </c>
      <c r="K413" s="165">
        <f t="shared" si="118"/>
        <v>803</v>
      </c>
      <c r="L413" s="161">
        <f t="shared" si="118"/>
        <v>6852425.4900000002</v>
      </c>
      <c r="M413" s="161">
        <f t="shared" si="118"/>
        <v>0</v>
      </c>
      <c r="N413" s="161">
        <f t="shared" si="118"/>
        <v>0</v>
      </c>
      <c r="O413" s="161">
        <f t="shared" si="118"/>
        <v>0</v>
      </c>
      <c r="P413" s="161">
        <f t="shared" si="118"/>
        <v>6852425.4900000002</v>
      </c>
      <c r="Q413" s="159">
        <f t="shared" si="117"/>
        <v>282.01254779140925</v>
      </c>
      <c r="R413" s="11" t="s">
        <v>222</v>
      </c>
      <c r="S413" s="4" t="s">
        <v>222</v>
      </c>
      <c r="T413" s="4" t="s">
        <v>222</v>
      </c>
      <c r="U413" s="139"/>
      <c r="V413" s="139">
        <f>L414-'виды работ '!C410</f>
        <v>0</v>
      </c>
    </row>
    <row r="414" spans="1:22" s="138" customFormat="1" ht="12.75" x14ac:dyDescent="0.2">
      <c r="A414" s="168" t="s">
        <v>77</v>
      </c>
      <c r="B414" s="168"/>
      <c r="C414" s="168"/>
      <c r="D414" s="168"/>
      <c r="E414" s="168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7"/>
      <c r="T414" s="187"/>
      <c r="U414" s="139"/>
      <c r="V414" s="139">
        <f>L415-'виды работ '!C411</f>
        <v>0</v>
      </c>
    </row>
    <row r="415" spans="1:22" s="138" customFormat="1" ht="12.75" x14ac:dyDescent="0.2">
      <c r="A415" s="13">
        <f>A412+1</f>
        <v>259</v>
      </c>
      <c r="B415" s="5" t="s">
        <v>420</v>
      </c>
      <c r="C415" s="7">
        <v>1969</v>
      </c>
      <c r="D415" s="152"/>
      <c r="E415" s="152" t="s">
        <v>219</v>
      </c>
      <c r="F415" s="152">
        <v>2</v>
      </c>
      <c r="G415" s="152">
        <v>2</v>
      </c>
      <c r="H415" s="7">
        <v>579.1</v>
      </c>
      <c r="I415" s="7">
        <v>531.1</v>
      </c>
      <c r="J415" s="7">
        <v>427.2</v>
      </c>
      <c r="K415" s="7">
        <v>19</v>
      </c>
      <c r="L415" s="161">
        <f>'виды работ '!C411</f>
        <v>3044459.32</v>
      </c>
      <c r="M415" s="159">
        <v>0</v>
      </c>
      <c r="N415" s="159">
        <v>0</v>
      </c>
      <c r="O415" s="159">
        <v>0</v>
      </c>
      <c r="P415" s="159">
        <f>L415</f>
        <v>3044459.32</v>
      </c>
      <c r="Q415" s="159">
        <f>L415/H415</f>
        <v>5257.2255568986357</v>
      </c>
      <c r="R415" s="161">
        <v>14593.7</v>
      </c>
      <c r="S415" s="4" t="s">
        <v>279</v>
      </c>
      <c r="T415" s="152" t="s">
        <v>231</v>
      </c>
      <c r="U415" s="139"/>
      <c r="V415" s="139">
        <f>L416-'виды работ '!C412</f>
        <v>0</v>
      </c>
    </row>
    <row r="416" spans="1:22" s="138" customFormat="1" ht="12.75" x14ac:dyDescent="0.2">
      <c r="A416" s="13">
        <f>A415+1</f>
        <v>260</v>
      </c>
      <c r="B416" s="5" t="s">
        <v>421</v>
      </c>
      <c r="C416" s="7">
        <v>1969</v>
      </c>
      <c r="D416" s="152"/>
      <c r="E416" s="152" t="s">
        <v>219</v>
      </c>
      <c r="F416" s="152">
        <v>2</v>
      </c>
      <c r="G416" s="152">
        <v>2</v>
      </c>
      <c r="H416" s="7">
        <v>575.79999999999995</v>
      </c>
      <c r="I416" s="7">
        <v>531.79999999999995</v>
      </c>
      <c r="J416" s="7">
        <v>394.42</v>
      </c>
      <c r="K416" s="7">
        <v>23</v>
      </c>
      <c r="L416" s="161">
        <f>'виды работ '!C412</f>
        <v>3223828.0599999996</v>
      </c>
      <c r="M416" s="159">
        <v>0</v>
      </c>
      <c r="N416" s="159">
        <v>0</v>
      </c>
      <c r="O416" s="159">
        <v>0</v>
      </c>
      <c r="P416" s="159">
        <f>L416</f>
        <v>3223828.0599999996</v>
      </c>
      <c r="Q416" s="159">
        <f>L416/H416</f>
        <v>5598.8677665856194</v>
      </c>
      <c r="R416" s="161">
        <v>14593.7</v>
      </c>
      <c r="S416" s="4" t="s">
        <v>279</v>
      </c>
      <c r="T416" s="152" t="s">
        <v>231</v>
      </c>
      <c r="U416" s="139"/>
      <c r="V416" s="139">
        <f>L417-'виды работ '!C413</f>
        <v>0</v>
      </c>
    </row>
    <row r="417" spans="1:22" s="138" customFormat="1" ht="12.75" x14ac:dyDescent="0.2">
      <c r="A417" s="13">
        <f>A416+1</f>
        <v>261</v>
      </c>
      <c r="B417" s="5" t="s">
        <v>422</v>
      </c>
      <c r="C417" s="7">
        <v>1969</v>
      </c>
      <c r="D417" s="152"/>
      <c r="E417" s="152" t="s">
        <v>219</v>
      </c>
      <c r="F417" s="152">
        <v>2</v>
      </c>
      <c r="G417" s="152">
        <v>2</v>
      </c>
      <c r="H417" s="7">
        <v>798.4</v>
      </c>
      <c r="I417" s="7">
        <v>737.2</v>
      </c>
      <c r="J417" s="7">
        <v>573.49</v>
      </c>
      <c r="K417" s="7">
        <v>59</v>
      </c>
      <c r="L417" s="161">
        <f>'виды работ '!C413</f>
        <v>2723243.77</v>
      </c>
      <c r="M417" s="159">
        <v>0</v>
      </c>
      <c r="N417" s="159">
        <v>0</v>
      </c>
      <c r="O417" s="159">
        <v>0</v>
      </c>
      <c r="P417" s="159">
        <f>L417</f>
        <v>2723243.77</v>
      </c>
      <c r="Q417" s="159">
        <f>L417/H417</f>
        <v>3410.876465430862</v>
      </c>
      <c r="R417" s="161">
        <v>14593.7</v>
      </c>
      <c r="S417" s="4" t="s">
        <v>279</v>
      </c>
      <c r="T417" s="152" t="s">
        <v>231</v>
      </c>
      <c r="U417" s="139"/>
      <c r="V417" s="139">
        <f>L418-'виды работ '!C414</f>
        <v>0</v>
      </c>
    </row>
    <row r="418" spans="1:22" s="138" customFormat="1" ht="12.75" x14ac:dyDescent="0.2">
      <c r="A418" s="13">
        <f>A417+1</f>
        <v>262</v>
      </c>
      <c r="B418" s="5" t="s">
        <v>423</v>
      </c>
      <c r="C418" s="7">
        <v>1965</v>
      </c>
      <c r="D418" s="152"/>
      <c r="E418" s="152" t="s">
        <v>219</v>
      </c>
      <c r="F418" s="152">
        <v>2</v>
      </c>
      <c r="G418" s="152">
        <v>2</v>
      </c>
      <c r="H418" s="7">
        <v>791.1</v>
      </c>
      <c r="I418" s="7">
        <v>729.9</v>
      </c>
      <c r="J418" s="7">
        <v>531.6</v>
      </c>
      <c r="K418" s="7">
        <v>41</v>
      </c>
      <c r="L418" s="161">
        <f>'виды работ '!C414</f>
        <v>1600580.52</v>
      </c>
      <c r="M418" s="159">
        <v>0</v>
      </c>
      <c r="N418" s="159">
        <v>0</v>
      </c>
      <c r="O418" s="159">
        <v>0</v>
      </c>
      <c r="P418" s="159">
        <f>L418</f>
        <v>1600580.52</v>
      </c>
      <c r="Q418" s="159">
        <f>L418/H418</f>
        <v>2023.2341296928328</v>
      </c>
      <c r="R418" s="161">
        <v>14593.7</v>
      </c>
      <c r="S418" s="4" t="s">
        <v>279</v>
      </c>
      <c r="T418" s="152" t="s">
        <v>231</v>
      </c>
      <c r="U418" s="139"/>
      <c r="V418" s="139">
        <f>L419-'виды работ '!C415</f>
        <v>0</v>
      </c>
    </row>
    <row r="419" spans="1:22" s="138" customFormat="1" ht="12.75" x14ac:dyDescent="0.2">
      <c r="A419" s="182" t="s">
        <v>18</v>
      </c>
      <c r="B419" s="182"/>
      <c r="C419" s="163" t="s">
        <v>222</v>
      </c>
      <c r="D419" s="163" t="s">
        <v>222</v>
      </c>
      <c r="E419" s="163" t="s">
        <v>222</v>
      </c>
      <c r="F419" s="163" t="s">
        <v>222</v>
      </c>
      <c r="G419" s="163" t="s">
        <v>222</v>
      </c>
      <c r="H419" s="153">
        <f>SUM(H415:H418)</f>
        <v>2744.4</v>
      </c>
      <c r="I419" s="153">
        <f t="shared" ref="I419:P419" si="119">SUM(I415:I418)</f>
        <v>2530</v>
      </c>
      <c r="J419" s="153">
        <f t="shared" si="119"/>
        <v>1926.71</v>
      </c>
      <c r="K419" s="153">
        <f t="shared" si="119"/>
        <v>142</v>
      </c>
      <c r="L419" s="161">
        <f>SUM(L415:L418)</f>
        <v>10592111.669999998</v>
      </c>
      <c r="M419" s="161">
        <f t="shared" si="119"/>
        <v>0</v>
      </c>
      <c r="N419" s="161">
        <f t="shared" si="119"/>
        <v>0</v>
      </c>
      <c r="O419" s="161">
        <f t="shared" si="119"/>
        <v>0</v>
      </c>
      <c r="P419" s="161">
        <f t="shared" si="119"/>
        <v>10592111.669999998</v>
      </c>
      <c r="Q419" s="159">
        <f>L419/H419</f>
        <v>3859.5363904678611</v>
      </c>
      <c r="R419" s="11" t="s">
        <v>222</v>
      </c>
      <c r="S419" s="4" t="s">
        <v>222</v>
      </c>
      <c r="T419" s="4" t="s">
        <v>222</v>
      </c>
      <c r="U419" s="139"/>
      <c r="V419" s="139">
        <f>L420-'виды работ '!C416</f>
        <v>0</v>
      </c>
    </row>
    <row r="420" spans="1:22" s="138" customFormat="1" ht="16.5" customHeight="1" x14ac:dyDescent="0.2">
      <c r="A420" s="168" t="s">
        <v>78</v>
      </c>
      <c r="B420" s="168"/>
      <c r="C420" s="168"/>
      <c r="D420" s="168"/>
      <c r="E420" s="168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39"/>
      <c r="V420" s="139">
        <f>L421-'виды работ '!C417</f>
        <v>0</v>
      </c>
    </row>
    <row r="421" spans="1:22" s="138" customFormat="1" ht="16.5" customHeight="1" x14ac:dyDescent="0.2">
      <c r="A421" s="12">
        <f>A418+1</f>
        <v>263</v>
      </c>
      <c r="B421" s="5" t="s">
        <v>81</v>
      </c>
      <c r="C421" s="152">
        <v>1953</v>
      </c>
      <c r="D421" s="152"/>
      <c r="E421" s="152" t="s">
        <v>219</v>
      </c>
      <c r="F421" s="152">
        <v>2</v>
      </c>
      <c r="G421" s="152">
        <v>1</v>
      </c>
      <c r="H421" s="159">
        <v>414.7</v>
      </c>
      <c r="I421" s="159">
        <v>381</v>
      </c>
      <c r="J421" s="159">
        <v>206.01</v>
      </c>
      <c r="K421" s="160">
        <v>16</v>
      </c>
      <c r="L421" s="161">
        <f>'виды работ '!C417</f>
        <v>2295303.7200000002</v>
      </c>
      <c r="M421" s="159">
        <v>0</v>
      </c>
      <c r="N421" s="159">
        <v>0</v>
      </c>
      <c r="O421" s="159">
        <v>0</v>
      </c>
      <c r="P421" s="159">
        <f>L421</f>
        <v>2295303.7200000002</v>
      </c>
      <c r="Q421" s="159">
        <f>L421/H421</f>
        <v>5534.8534362189539</v>
      </c>
      <c r="R421" s="161">
        <v>14593.7</v>
      </c>
      <c r="S421" s="4" t="s">
        <v>279</v>
      </c>
      <c r="T421" s="152" t="s">
        <v>231</v>
      </c>
      <c r="U421" s="139"/>
      <c r="V421" s="139">
        <f>L422-'виды работ '!C418</f>
        <v>0</v>
      </c>
    </row>
    <row r="422" spans="1:22" s="138" customFormat="1" ht="16.5" customHeight="1" x14ac:dyDescent="0.2">
      <c r="A422" s="12">
        <f>A421+1</f>
        <v>264</v>
      </c>
      <c r="B422" s="5" t="s">
        <v>80</v>
      </c>
      <c r="C422" s="152">
        <v>1953</v>
      </c>
      <c r="D422" s="152"/>
      <c r="E422" s="152" t="s">
        <v>219</v>
      </c>
      <c r="F422" s="152">
        <v>2</v>
      </c>
      <c r="G422" s="152">
        <v>1</v>
      </c>
      <c r="H422" s="159">
        <v>414.6</v>
      </c>
      <c r="I422" s="159">
        <v>377.8</v>
      </c>
      <c r="J422" s="159">
        <v>308.3</v>
      </c>
      <c r="K422" s="160">
        <v>18</v>
      </c>
      <c r="L422" s="161">
        <f>'виды работ '!C418</f>
        <v>2295303.7200000002</v>
      </c>
      <c r="M422" s="159">
        <v>0</v>
      </c>
      <c r="N422" s="159">
        <v>0</v>
      </c>
      <c r="O422" s="159">
        <v>0</v>
      </c>
      <c r="P422" s="159">
        <f>L422</f>
        <v>2295303.7200000002</v>
      </c>
      <c r="Q422" s="159">
        <f>L422/H422</f>
        <v>5536.1884225759768</v>
      </c>
      <c r="R422" s="161">
        <v>14593.7</v>
      </c>
      <c r="S422" s="4" t="s">
        <v>279</v>
      </c>
      <c r="T422" s="152" t="s">
        <v>231</v>
      </c>
      <c r="U422" s="139"/>
      <c r="V422" s="139">
        <f>L423-'виды работ '!C419</f>
        <v>0</v>
      </c>
    </row>
    <row r="423" spans="1:22" s="138" customFormat="1" ht="16.5" customHeight="1" x14ac:dyDescent="0.2">
      <c r="A423" s="12">
        <f>A422+1</f>
        <v>265</v>
      </c>
      <c r="B423" s="5" t="s">
        <v>79</v>
      </c>
      <c r="C423" s="152">
        <v>1968</v>
      </c>
      <c r="D423" s="152"/>
      <c r="E423" s="152" t="s">
        <v>223</v>
      </c>
      <c r="F423" s="152">
        <v>5</v>
      </c>
      <c r="G423" s="152">
        <v>3</v>
      </c>
      <c r="H423" s="159">
        <v>2783.8</v>
      </c>
      <c r="I423" s="159">
        <v>2559.4</v>
      </c>
      <c r="J423" s="159">
        <v>2074</v>
      </c>
      <c r="K423" s="160">
        <v>110</v>
      </c>
      <c r="L423" s="161">
        <f>'виды работ '!C419</f>
        <v>1513673.49</v>
      </c>
      <c r="M423" s="159">
        <v>0</v>
      </c>
      <c r="N423" s="159">
        <v>0</v>
      </c>
      <c r="O423" s="159">
        <v>0</v>
      </c>
      <c r="P423" s="159">
        <f>L423</f>
        <v>1513673.49</v>
      </c>
      <c r="Q423" s="159">
        <f>L423/H423</f>
        <v>543.74362023133847</v>
      </c>
      <c r="R423" s="161">
        <v>14593.7</v>
      </c>
      <c r="S423" s="4" t="s">
        <v>279</v>
      </c>
      <c r="T423" s="152" t="s">
        <v>231</v>
      </c>
      <c r="U423" s="139"/>
      <c r="V423" s="139">
        <f>L424-'виды работ '!C420</f>
        <v>0</v>
      </c>
    </row>
    <row r="424" spans="1:22" s="138" customFormat="1" ht="16.5" customHeight="1" x14ac:dyDescent="0.2">
      <c r="A424" s="12">
        <f>A423+1</f>
        <v>266</v>
      </c>
      <c r="B424" s="155" t="s">
        <v>568</v>
      </c>
      <c r="C424" s="152">
        <v>1968</v>
      </c>
      <c r="D424" s="152"/>
      <c r="E424" s="152" t="s">
        <v>223</v>
      </c>
      <c r="F424" s="152">
        <v>5</v>
      </c>
      <c r="G424" s="152">
        <v>3</v>
      </c>
      <c r="H424" s="159">
        <v>2774.7</v>
      </c>
      <c r="I424" s="159">
        <v>2547.6999999999998</v>
      </c>
      <c r="J424" s="159">
        <v>2200.1</v>
      </c>
      <c r="K424" s="160">
        <v>100</v>
      </c>
      <c r="L424" s="159">
        <f>'виды работ '!C420</f>
        <v>1971071</v>
      </c>
      <c r="M424" s="159">
        <v>0</v>
      </c>
      <c r="N424" s="159">
        <v>0</v>
      </c>
      <c r="O424" s="159">
        <v>0</v>
      </c>
      <c r="P424" s="159">
        <f>L424</f>
        <v>1971071</v>
      </c>
      <c r="Q424" s="159">
        <f>L424/H424</f>
        <v>710.37265289941263</v>
      </c>
      <c r="R424" s="161">
        <v>14593.7</v>
      </c>
      <c r="S424" s="4" t="s">
        <v>279</v>
      </c>
      <c r="T424" s="152" t="s">
        <v>231</v>
      </c>
      <c r="U424" s="139"/>
      <c r="V424" s="139">
        <f>L425-'виды работ '!C421</f>
        <v>0</v>
      </c>
    </row>
    <row r="425" spans="1:22" s="138" customFormat="1" ht="16.5" customHeight="1" x14ac:dyDescent="0.2">
      <c r="A425" s="182" t="s">
        <v>18</v>
      </c>
      <c r="B425" s="182"/>
      <c r="C425" s="163" t="s">
        <v>222</v>
      </c>
      <c r="D425" s="163" t="s">
        <v>222</v>
      </c>
      <c r="E425" s="163" t="s">
        <v>222</v>
      </c>
      <c r="F425" s="163" t="s">
        <v>222</v>
      </c>
      <c r="G425" s="163" t="s">
        <v>222</v>
      </c>
      <c r="H425" s="161">
        <f t="shared" ref="H425:P425" si="120">SUM(H421:H424)</f>
        <v>6387.8</v>
      </c>
      <c r="I425" s="161">
        <f t="shared" si="120"/>
        <v>5865.9</v>
      </c>
      <c r="J425" s="161">
        <f t="shared" si="120"/>
        <v>4788.41</v>
      </c>
      <c r="K425" s="165">
        <f t="shared" si="120"/>
        <v>244</v>
      </c>
      <c r="L425" s="161">
        <f t="shared" si="120"/>
        <v>8075351.9300000006</v>
      </c>
      <c r="M425" s="161">
        <f t="shared" si="120"/>
        <v>0</v>
      </c>
      <c r="N425" s="161">
        <f t="shared" si="120"/>
        <v>0</v>
      </c>
      <c r="O425" s="161">
        <f t="shared" si="120"/>
        <v>0</v>
      </c>
      <c r="P425" s="161">
        <f t="shared" si="120"/>
        <v>8075351.9300000006</v>
      </c>
      <c r="Q425" s="159">
        <f>L425/H425</f>
        <v>1264.1835890290868</v>
      </c>
      <c r="R425" s="11" t="s">
        <v>222</v>
      </c>
      <c r="S425" s="4" t="s">
        <v>222</v>
      </c>
      <c r="T425" s="4" t="s">
        <v>222</v>
      </c>
      <c r="U425" s="139"/>
      <c r="V425" s="139">
        <f>L426-'виды работ '!C422</f>
        <v>0</v>
      </c>
    </row>
    <row r="426" spans="1:22" s="138" customFormat="1" ht="16.5" customHeight="1" x14ac:dyDescent="0.2">
      <c r="A426" s="168" t="s">
        <v>82</v>
      </c>
      <c r="B426" s="168"/>
      <c r="C426" s="168"/>
      <c r="D426" s="168"/>
      <c r="E426" s="168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39"/>
      <c r="V426" s="139">
        <f>L427-'виды работ '!C423</f>
        <v>0</v>
      </c>
    </row>
    <row r="427" spans="1:22" s="138" customFormat="1" ht="16.5" customHeight="1" x14ac:dyDescent="0.2">
      <c r="A427" s="13">
        <f>A424+1</f>
        <v>267</v>
      </c>
      <c r="B427" s="5" t="s">
        <v>424</v>
      </c>
      <c r="C427" s="152">
        <v>1975</v>
      </c>
      <c r="D427" s="152"/>
      <c r="E427" s="152" t="s">
        <v>219</v>
      </c>
      <c r="F427" s="152">
        <v>2</v>
      </c>
      <c r="G427" s="152">
        <v>2</v>
      </c>
      <c r="H427" s="159">
        <v>999.2</v>
      </c>
      <c r="I427" s="159">
        <v>440.7</v>
      </c>
      <c r="J427" s="159">
        <v>86.3</v>
      </c>
      <c r="K427" s="160">
        <v>29</v>
      </c>
      <c r="L427" s="161">
        <f>'виды работ '!C423</f>
        <v>306637.29000000004</v>
      </c>
      <c r="M427" s="159">
        <v>0</v>
      </c>
      <c r="N427" s="159">
        <v>0</v>
      </c>
      <c r="O427" s="159">
        <v>0</v>
      </c>
      <c r="P427" s="159">
        <f t="shared" ref="P427:P432" si="121">L427</f>
        <v>306637.29000000004</v>
      </c>
      <c r="Q427" s="159">
        <f t="shared" ref="Q427:Q434" si="122">L427/H427</f>
        <v>306.88279623698963</v>
      </c>
      <c r="R427" s="161">
        <v>14593.7</v>
      </c>
      <c r="S427" s="4" t="s">
        <v>279</v>
      </c>
      <c r="T427" s="152" t="s">
        <v>231</v>
      </c>
      <c r="U427" s="139"/>
      <c r="V427" s="139">
        <f>L428-'виды работ '!C424</f>
        <v>0</v>
      </c>
    </row>
    <row r="428" spans="1:22" s="138" customFormat="1" ht="16.5" customHeight="1" x14ac:dyDescent="0.2">
      <c r="A428" s="13">
        <f t="shared" ref="A428:A433" si="123">A427+1</f>
        <v>268</v>
      </c>
      <c r="B428" s="5" t="s">
        <v>425</v>
      </c>
      <c r="C428" s="152">
        <v>1964</v>
      </c>
      <c r="D428" s="152"/>
      <c r="E428" s="152" t="s">
        <v>219</v>
      </c>
      <c r="F428" s="152">
        <v>2</v>
      </c>
      <c r="G428" s="152">
        <v>2</v>
      </c>
      <c r="H428" s="159">
        <v>421.5</v>
      </c>
      <c r="I428" s="159">
        <v>254.5</v>
      </c>
      <c r="J428" s="159">
        <v>125.6</v>
      </c>
      <c r="K428" s="160">
        <v>16</v>
      </c>
      <c r="L428" s="161">
        <f>'виды работ '!C424</f>
        <v>3527664.5</v>
      </c>
      <c r="M428" s="159">
        <v>0</v>
      </c>
      <c r="N428" s="159">
        <v>0</v>
      </c>
      <c r="O428" s="159">
        <v>0</v>
      </c>
      <c r="P428" s="159">
        <f t="shared" si="121"/>
        <v>3527664.5</v>
      </c>
      <c r="Q428" s="159">
        <f t="shared" si="122"/>
        <v>8369.3107947805456</v>
      </c>
      <c r="R428" s="161">
        <v>14593.7</v>
      </c>
      <c r="S428" s="4" t="s">
        <v>279</v>
      </c>
      <c r="T428" s="152" t="s">
        <v>231</v>
      </c>
      <c r="U428" s="139"/>
      <c r="V428" s="139">
        <f>L429-'виды работ '!C425</f>
        <v>0</v>
      </c>
    </row>
    <row r="429" spans="1:22" s="138" customFormat="1" ht="16.5" customHeight="1" x14ac:dyDescent="0.2">
      <c r="A429" s="13">
        <f t="shared" si="123"/>
        <v>269</v>
      </c>
      <c r="B429" s="5" t="s">
        <v>426</v>
      </c>
      <c r="C429" s="152">
        <v>1970</v>
      </c>
      <c r="D429" s="152"/>
      <c r="E429" s="152" t="s">
        <v>219</v>
      </c>
      <c r="F429" s="152">
        <v>2</v>
      </c>
      <c r="G429" s="152">
        <v>2</v>
      </c>
      <c r="H429" s="159">
        <v>586.9</v>
      </c>
      <c r="I429" s="159">
        <v>275.89999999999998</v>
      </c>
      <c r="J429" s="159">
        <v>238</v>
      </c>
      <c r="K429" s="160">
        <v>36</v>
      </c>
      <c r="L429" s="161">
        <f>'виды работ '!C425</f>
        <v>269048.79000000004</v>
      </c>
      <c r="M429" s="159">
        <v>0</v>
      </c>
      <c r="N429" s="159">
        <v>0</v>
      </c>
      <c r="O429" s="159">
        <v>0</v>
      </c>
      <c r="P429" s="159">
        <f t="shared" si="121"/>
        <v>269048.79000000004</v>
      </c>
      <c r="Q429" s="159">
        <f t="shared" si="122"/>
        <v>458.42356449139555</v>
      </c>
      <c r="R429" s="161">
        <v>14593.7</v>
      </c>
      <c r="S429" s="4" t="s">
        <v>279</v>
      </c>
      <c r="T429" s="152" t="s">
        <v>231</v>
      </c>
      <c r="U429" s="139"/>
      <c r="V429" s="139">
        <f>L430-'виды работ '!C426</f>
        <v>0</v>
      </c>
    </row>
    <row r="430" spans="1:22" s="138" customFormat="1" ht="16.5" customHeight="1" x14ac:dyDescent="0.2">
      <c r="A430" s="13">
        <f t="shared" si="123"/>
        <v>270</v>
      </c>
      <c r="B430" s="5" t="s">
        <v>427</v>
      </c>
      <c r="C430" s="152">
        <v>1968</v>
      </c>
      <c r="D430" s="152"/>
      <c r="E430" s="152" t="s">
        <v>219</v>
      </c>
      <c r="F430" s="152">
        <v>2</v>
      </c>
      <c r="G430" s="152">
        <v>2</v>
      </c>
      <c r="H430" s="159">
        <v>517.9</v>
      </c>
      <c r="I430" s="159">
        <v>288.60000000000002</v>
      </c>
      <c r="J430" s="159">
        <v>207.8</v>
      </c>
      <c r="K430" s="160">
        <v>34</v>
      </c>
      <c r="L430" s="161">
        <f>'виды работ '!C426</f>
        <v>269048.88</v>
      </c>
      <c r="M430" s="159">
        <v>0</v>
      </c>
      <c r="N430" s="159">
        <v>0</v>
      </c>
      <c r="O430" s="159">
        <v>0</v>
      </c>
      <c r="P430" s="159">
        <f t="shared" si="121"/>
        <v>269048.88</v>
      </c>
      <c r="Q430" s="159">
        <f t="shared" si="122"/>
        <v>519.49967175130337</v>
      </c>
      <c r="R430" s="161">
        <v>14593.7</v>
      </c>
      <c r="S430" s="4" t="s">
        <v>279</v>
      </c>
      <c r="T430" s="152" t="s">
        <v>231</v>
      </c>
      <c r="U430" s="139"/>
      <c r="V430" s="139">
        <f>L431-'виды работ '!C427</f>
        <v>0</v>
      </c>
    </row>
    <row r="431" spans="1:22" s="138" customFormat="1" ht="16.5" customHeight="1" x14ac:dyDescent="0.2">
      <c r="A431" s="13">
        <f t="shared" si="123"/>
        <v>271</v>
      </c>
      <c r="B431" s="5" t="s">
        <v>428</v>
      </c>
      <c r="C431" s="152">
        <v>1970</v>
      </c>
      <c r="D431" s="152"/>
      <c r="E431" s="152" t="s">
        <v>219</v>
      </c>
      <c r="F431" s="152">
        <v>2</v>
      </c>
      <c r="G431" s="152">
        <v>2</v>
      </c>
      <c r="H431" s="159">
        <v>587.1</v>
      </c>
      <c r="I431" s="159">
        <v>275.3</v>
      </c>
      <c r="J431" s="159">
        <v>185.5</v>
      </c>
      <c r="K431" s="160">
        <v>24</v>
      </c>
      <c r="L431" s="161">
        <f>'виды работ '!C427</f>
        <v>269048.88</v>
      </c>
      <c r="M431" s="159">
        <v>0</v>
      </c>
      <c r="N431" s="159">
        <v>0</v>
      </c>
      <c r="O431" s="159">
        <v>0</v>
      </c>
      <c r="P431" s="159">
        <f t="shared" si="121"/>
        <v>269048.88</v>
      </c>
      <c r="Q431" s="159">
        <f t="shared" si="122"/>
        <v>458.26755237608586</v>
      </c>
      <c r="R431" s="161">
        <v>14593.7</v>
      </c>
      <c r="S431" s="4" t="s">
        <v>279</v>
      </c>
      <c r="T431" s="152" t="s">
        <v>231</v>
      </c>
      <c r="U431" s="139"/>
      <c r="V431" s="139">
        <f>L432-'виды работ '!C428</f>
        <v>0</v>
      </c>
    </row>
    <row r="432" spans="1:22" s="138" customFormat="1" ht="16.5" customHeight="1" x14ac:dyDescent="0.2">
      <c r="A432" s="13">
        <f t="shared" si="123"/>
        <v>272</v>
      </c>
      <c r="B432" s="5" t="s">
        <v>429</v>
      </c>
      <c r="C432" s="152">
        <v>1971</v>
      </c>
      <c r="D432" s="152"/>
      <c r="E432" s="152" t="s">
        <v>219</v>
      </c>
      <c r="F432" s="152">
        <v>2</v>
      </c>
      <c r="G432" s="152">
        <v>2</v>
      </c>
      <c r="H432" s="159">
        <v>607.1</v>
      </c>
      <c r="I432" s="159">
        <v>290.89999999999998</v>
      </c>
      <c r="J432" s="159">
        <v>126.8</v>
      </c>
      <c r="K432" s="160">
        <v>19</v>
      </c>
      <c r="L432" s="161">
        <f>'виды работ '!C428</f>
        <v>269048.88</v>
      </c>
      <c r="M432" s="159">
        <v>0</v>
      </c>
      <c r="N432" s="159">
        <v>0</v>
      </c>
      <c r="O432" s="159">
        <v>0</v>
      </c>
      <c r="P432" s="159">
        <f t="shared" si="121"/>
        <v>269048.88</v>
      </c>
      <c r="Q432" s="159">
        <f t="shared" si="122"/>
        <v>443.17061439631033</v>
      </c>
      <c r="R432" s="161">
        <v>14593.7</v>
      </c>
      <c r="S432" s="4" t="s">
        <v>279</v>
      </c>
      <c r="T432" s="152" t="s">
        <v>231</v>
      </c>
      <c r="U432" s="139"/>
      <c r="V432" s="139">
        <f>L433-'виды работ '!C429</f>
        <v>0</v>
      </c>
    </row>
    <row r="433" spans="1:22" s="138" customFormat="1" ht="16.5" customHeight="1" x14ac:dyDescent="0.2">
      <c r="A433" s="13">
        <f t="shared" si="123"/>
        <v>273</v>
      </c>
      <c r="B433" s="5" t="s">
        <v>430</v>
      </c>
      <c r="C433" s="152">
        <v>1965</v>
      </c>
      <c r="D433" s="152"/>
      <c r="E433" s="152" t="s">
        <v>219</v>
      </c>
      <c r="F433" s="152">
        <v>2</v>
      </c>
      <c r="G433" s="152">
        <v>2</v>
      </c>
      <c r="H433" s="159">
        <v>664.9</v>
      </c>
      <c r="I433" s="159">
        <v>411.1</v>
      </c>
      <c r="J433" s="159">
        <v>285.2</v>
      </c>
      <c r="K433" s="160">
        <v>29</v>
      </c>
      <c r="L433" s="161">
        <f>'виды работ '!C429</f>
        <v>4341900.49</v>
      </c>
      <c r="M433" s="159">
        <v>0</v>
      </c>
      <c r="N433" s="159">
        <v>0</v>
      </c>
      <c r="O433" s="159">
        <v>0</v>
      </c>
      <c r="P433" s="159">
        <f>L433</f>
        <v>4341900.49</v>
      </c>
      <c r="Q433" s="159">
        <f>L433/H433</f>
        <v>6530.1556474657846</v>
      </c>
      <c r="R433" s="161">
        <v>14593.7</v>
      </c>
      <c r="S433" s="4" t="s">
        <v>279</v>
      </c>
      <c r="T433" s="152" t="s">
        <v>231</v>
      </c>
      <c r="U433" s="139"/>
      <c r="V433" s="139">
        <f>L434-'виды работ '!C430</f>
        <v>0</v>
      </c>
    </row>
    <row r="434" spans="1:22" s="138" customFormat="1" ht="16.5" customHeight="1" x14ac:dyDescent="0.2">
      <c r="A434" s="182" t="s">
        <v>18</v>
      </c>
      <c r="B434" s="182"/>
      <c r="C434" s="163" t="s">
        <v>222</v>
      </c>
      <c r="D434" s="163" t="s">
        <v>222</v>
      </c>
      <c r="E434" s="163" t="s">
        <v>222</v>
      </c>
      <c r="F434" s="163" t="s">
        <v>222</v>
      </c>
      <c r="G434" s="163" t="s">
        <v>222</v>
      </c>
      <c r="H434" s="161">
        <f>SUM(H427:H433)</f>
        <v>4384.5999999999995</v>
      </c>
      <c r="I434" s="161">
        <f t="shared" ref="I434:P434" si="124">SUM(I427:I433)</f>
        <v>2237</v>
      </c>
      <c r="J434" s="161">
        <f t="shared" si="124"/>
        <v>1255.2</v>
      </c>
      <c r="K434" s="165">
        <f t="shared" si="124"/>
        <v>187</v>
      </c>
      <c r="L434" s="161">
        <f>SUM(L427:L433)</f>
        <v>9252397.7100000009</v>
      </c>
      <c r="M434" s="161">
        <f t="shared" si="124"/>
        <v>0</v>
      </c>
      <c r="N434" s="161">
        <f t="shared" si="124"/>
        <v>0</v>
      </c>
      <c r="O434" s="161">
        <f t="shared" si="124"/>
        <v>0</v>
      </c>
      <c r="P434" s="161">
        <f t="shared" si="124"/>
        <v>9252397.7100000009</v>
      </c>
      <c r="Q434" s="159">
        <f t="shared" si="122"/>
        <v>2110.2033731697311</v>
      </c>
      <c r="R434" s="11" t="s">
        <v>222</v>
      </c>
      <c r="S434" s="4" t="s">
        <v>222</v>
      </c>
      <c r="T434" s="4" t="s">
        <v>222</v>
      </c>
      <c r="U434" s="139"/>
      <c r="V434" s="139">
        <f>L435-'виды работ '!C431</f>
        <v>0</v>
      </c>
    </row>
    <row r="435" spans="1:22" s="138" customFormat="1" ht="20.25" customHeight="1" x14ac:dyDescent="0.2">
      <c r="A435" s="168" t="s">
        <v>83</v>
      </c>
      <c r="B435" s="168"/>
      <c r="C435" s="168"/>
      <c r="D435" s="168"/>
      <c r="E435" s="168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39"/>
      <c r="V435" s="139">
        <f>L436-'виды работ '!C432</f>
        <v>0</v>
      </c>
    </row>
    <row r="436" spans="1:22" s="138" customFormat="1" ht="12.75" x14ac:dyDescent="0.2">
      <c r="A436" s="12">
        <f>A433+1</f>
        <v>274</v>
      </c>
      <c r="B436" s="14" t="s">
        <v>431</v>
      </c>
      <c r="C436" s="7">
        <v>1967</v>
      </c>
      <c r="D436" s="152"/>
      <c r="E436" s="152" t="s">
        <v>219</v>
      </c>
      <c r="F436" s="152">
        <v>2</v>
      </c>
      <c r="G436" s="152">
        <v>2</v>
      </c>
      <c r="H436" s="7">
        <v>673.1</v>
      </c>
      <c r="I436" s="7">
        <v>673.1</v>
      </c>
      <c r="J436" s="7">
        <v>117.3</v>
      </c>
      <c r="K436" s="7">
        <v>15</v>
      </c>
      <c r="L436" s="159">
        <f>'виды работ '!C432</f>
        <v>4816328.17</v>
      </c>
      <c r="M436" s="159">
        <v>0</v>
      </c>
      <c r="N436" s="159">
        <v>0</v>
      </c>
      <c r="O436" s="159">
        <v>0</v>
      </c>
      <c r="P436" s="159">
        <f>L436</f>
        <v>4816328.17</v>
      </c>
      <c r="Q436" s="159">
        <f>L436/H436</f>
        <v>7155.4422374090027</v>
      </c>
      <c r="R436" s="161">
        <v>14593.7</v>
      </c>
      <c r="S436" s="4" t="s">
        <v>279</v>
      </c>
      <c r="T436" s="152" t="s">
        <v>231</v>
      </c>
      <c r="U436" s="139"/>
      <c r="V436" s="139">
        <f>L437-'виды работ '!C433</f>
        <v>0</v>
      </c>
    </row>
    <row r="437" spans="1:22" s="138" customFormat="1" ht="15.75" customHeight="1" x14ac:dyDescent="0.2">
      <c r="A437" s="12">
        <f>A436+1</f>
        <v>275</v>
      </c>
      <c r="B437" s="14" t="s">
        <v>432</v>
      </c>
      <c r="C437" s="7">
        <v>1971</v>
      </c>
      <c r="D437" s="152"/>
      <c r="E437" s="152" t="s">
        <v>219</v>
      </c>
      <c r="F437" s="152">
        <v>2</v>
      </c>
      <c r="G437" s="152">
        <v>2</v>
      </c>
      <c r="H437" s="7">
        <v>818.5</v>
      </c>
      <c r="I437" s="7">
        <v>619.9</v>
      </c>
      <c r="J437" s="7">
        <v>31.6</v>
      </c>
      <c r="K437" s="7">
        <v>26</v>
      </c>
      <c r="L437" s="159">
        <f>'виды работ '!C433</f>
        <v>4943246.58</v>
      </c>
      <c r="M437" s="159">
        <v>0</v>
      </c>
      <c r="N437" s="159">
        <v>0</v>
      </c>
      <c r="O437" s="159">
        <v>0</v>
      </c>
      <c r="P437" s="159">
        <f>L437</f>
        <v>4943246.58</v>
      </c>
      <c r="Q437" s="159">
        <f>L437/H437</f>
        <v>6039.3971655467321</v>
      </c>
      <c r="R437" s="161">
        <v>14593.7</v>
      </c>
      <c r="S437" s="4" t="s">
        <v>279</v>
      </c>
      <c r="T437" s="152" t="s">
        <v>231</v>
      </c>
      <c r="U437" s="139"/>
      <c r="V437" s="139">
        <f>L438-'виды работ '!C434</f>
        <v>0</v>
      </c>
    </row>
    <row r="438" spans="1:22" s="138" customFormat="1" ht="16.5" customHeight="1" x14ac:dyDescent="0.2">
      <c r="A438" s="12">
        <f>A437+1</f>
        <v>276</v>
      </c>
      <c r="B438" s="155" t="s">
        <v>571</v>
      </c>
      <c r="C438" s="152">
        <v>1970</v>
      </c>
      <c r="D438" s="152"/>
      <c r="E438" s="152" t="s">
        <v>223</v>
      </c>
      <c r="F438" s="152">
        <v>5</v>
      </c>
      <c r="G438" s="152">
        <v>3</v>
      </c>
      <c r="H438" s="159">
        <v>2975.5</v>
      </c>
      <c r="I438" s="159">
        <v>2618.5</v>
      </c>
      <c r="J438" s="159">
        <v>1696.7</v>
      </c>
      <c r="K438" s="160">
        <v>145</v>
      </c>
      <c r="L438" s="159">
        <f>'виды работ '!C434</f>
        <v>188420.38</v>
      </c>
      <c r="M438" s="159">
        <v>0</v>
      </c>
      <c r="N438" s="159">
        <v>0</v>
      </c>
      <c r="O438" s="159">
        <v>0</v>
      </c>
      <c r="P438" s="159">
        <f>L438</f>
        <v>188420.38</v>
      </c>
      <c r="Q438" s="159">
        <f>L438/H438</f>
        <v>63.323938833809443</v>
      </c>
      <c r="R438" s="161">
        <v>14593.7</v>
      </c>
      <c r="S438" s="4" t="s">
        <v>279</v>
      </c>
      <c r="T438" s="152" t="s">
        <v>231</v>
      </c>
      <c r="U438" s="139"/>
      <c r="V438" s="139">
        <f>L439-'виды работ '!C435</f>
        <v>0</v>
      </c>
    </row>
    <row r="439" spans="1:22" s="230" customFormat="1" ht="12.75" x14ac:dyDescent="0.2">
      <c r="A439" s="182" t="s">
        <v>18</v>
      </c>
      <c r="B439" s="182"/>
      <c r="C439" s="163" t="s">
        <v>222</v>
      </c>
      <c r="D439" s="163" t="s">
        <v>222</v>
      </c>
      <c r="E439" s="163" t="s">
        <v>222</v>
      </c>
      <c r="F439" s="163" t="s">
        <v>222</v>
      </c>
      <c r="G439" s="163" t="s">
        <v>222</v>
      </c>
      <c r="H439" s="159">
        <f>SUM(H436:H438)</f>
        <v>4467.1000000000004</v>
      </c>
      <c r="I439" s="159">
        <f t="shared" ref="I439:P439" si="125">SUM(I436:I438)</f>
        <v>3911.5</v>
      </c>
      <c r="J439" s="159">
        <f t="shared" si="125"/>
        <v>1845.6000000000001</v>
      </c>
      <c r="K439" s="160">
        <f t="shared" si="125"/>
        <v>186</v>
      </c>
      <c r="L439" s="159">
        <f t="shared" si="125"/>
        <v>9947995.1300000008</v>
      </c>
      <c r="M439" s="159">
        <f t="shared" si="125"/>
        <v>0</v>
      </c>
      <c r="N439" s="159">
        <f t="shared" si="125"/>
        <v>0</v>
      </c>
      <c r="O439" s="159">
        <f t="shared" si="125"/>
        <v>0</v>
      </c>
      <c r="P439" s="159">
        <f t="shared" si="125"/>
        <v>9947995.1300000008</v>
      </c>
      <c r="Q439" s="159">
        <f>L439/H439</f>
        <v>2226.9470417049092</v>
      </c>
      <c r="R439" s="11" t="s">
        <v>222</v>
      </c>
      <c r="S439" s="4" t="s">
        <v>222</v>
      </c>
      <c r="T439" s="4" t="s">
        <v>222</v>
      </c>
      <c r="U439" s="242"/>
      <c r="V439" s="139">
        <f>L440-'виды работ '!C436</f>
        <v>0</v>
      </c>
    </row>
    <row r="440" spans="1:22" s="230" customFormat="1" ht="12.75" x14ac:dyDescent="0.2">
      <c r="A440" s="181" t="s">
        <v>84</v>
      </c>
      <c r="B440" s="181"/>
      <c r="C440" s="181"/>
      <c r="D440" s="162" t="s">
        <v>222</v>
      </c>
      <c r="E440" s="162" t="s">
        <v>222</v>
      </c>
      <c r="F440" s="162" t="s">
        <v>222</v>
      </c>
      <c r="G440" s="162" t="s">
        <v>222</v>
      </c>
      <c r="H440" s="166">
        <f t="shared" ref="H440:P440" si="126">H394+H406+H413+H419+H425+H434+H439</f>
        <v>52284.200000000004</v>
      </c>
      <c r="I440" s="166">
        <f t="shared" si="126"/>
        <v>42242.6</v>
      </c>
      <c r="J440" s="166">
        <f t="shared" si="126"/>
        <v>28945.62</v>
      </c>
      <c r="K440" s="16">
        <f t="shared" si="126"/>
        <v>1962</v>
      </c>
      <c r="L440" s="166">
        <f t="shared" si="126"/>
        <v>65371032.159599997</v>
      </c>
      <c r="M440" s="166">
        <f t="shared" si="126"/>
        <v>0</v>
      </c>
      <c r="N440" s="166">
        <f t="shared" si="126"/>
        <v>0</v>
      </c>
      <c r="O440" s="166">
        <f t="shared" si="126"/>
        <v>0</v>
      </c>
      <c r="P440" s="166">
        <f t="shared" si="126"/>
        <v>65371032.159599997</v>
      </c>
      <c r="Q440" s="158">
        <f>L440/H440</f>
        <v>1250.3018533247136</v>
      </c>
      <c r="R440" s="17" t="s">
        <v>222</v>
      </c>
      <c r="S440" s="18" t="s">
        <v>222</v>
      </c>
      <c r="T440" s="18" t="s">
        <v>222</v>
      </c>
      <c r="U440" s="166"/>
      <c r="V440" s="139">
        <f>L441-'виды работ '!C437</f>
        <v>0</v>
      </c>
    </row>
    <row r="441" spans="1:22" s="138" customFormat="1" ht="15" customHeight="1" x14ac:dyDescent="0.2">
      <c r="A441" s="175" t="s">
        <v>85</v>
      </c>
      <c r="B441" s="175"/>
      <c r="C441" s="175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240"/>
      <c r="V441" s="139">
        <f>L442-'виды работ '!C438</f>
        <v>0</v>
      </c>
    </row>
    <row r="442" spans="1:22" s="138" customFormat="1" ht="15" customHeight="1" x14ac:dyDescent="0.2">
      <c r="A442" s="186" t="s">
        <v>586</v>
      </c>
      <c r="B442" s="186"/>
      <c r="C442" s="186"/>
      <c r="D442" s="186"/>
      <c r="E442" s="186"/>
      <c r="F442" s="183"/>
      <c r="G442" s="183"/>
      <c r="H442" s="18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240"/>
      <c r="V442" s="139">
        <f>L443-'виды работ '!C439</f>
        <v>0</v>
      </c>
    </row>
    <row r="443" spans="1:22" s="138" customFormat="1" ht="15" customHeight="1" x14ac:dyDescent="0.2">
      <c r="A443" s="160">
        <f>A438+1</f>
        <v>277</v>
      </c>
      <c r="B443" s="155" t="s">
        <v>587</v>
      </c>
      <c r="C443" s="153">
        <v>1969</v>
      </c>
      <c r="D443" s="153"/>
      <c r="E443" s="152" t="s">
        <v>219</v>
      </c>
      <c r="F443" s="153">
        <v>5</v>
      </c>
      <c r="G443" s="153">
        <v>4</v>
      </c>
      <c r="H443" s="161">
        <v>3189.5</v>
      </c>
      <c r="I443" s="161">
        <v>2883.7</v>
      </c>
      <c r="J443" s="161">
        <v>2704.6</v>
      </c>
      <c r="K443" s="165">
        <v>138</v>
      </c>
      <c r="L443" s="159">
        <f>'виды работ '!C439</f>
        <v>479574</v>
      </c>
      <c r="M443" s="159">
        <v>0</v>
      </c>
      <c r="N443" s="159">
        <v>0</v>
      </c>
      <c r="O443" s="159">
        <v>0</v>
      </c>
      <c r="P443" s="159">
        <f>L443</f>
        <v>479574</v>
      </c>
      <c r="Q443" s="159">
        <f>L443/H443</f>
        <v>150.36024455243768</v>
      </c>
      <c r="R443" s="161">
        <v>14593.7</v>
      </c>
      <c r="S443" s="4" t="s">
        <v>279</v>
      </c>
      <c r="T443" s="152" t="s">
        <v>231</v>
      </c>
      <c r="U443" s="240"/>
      <c r="V443" s="139">
        <f>L444-'виды работ '!C440</f>
        <v>0</v>
      </c>
    </row>
    <row r="444" spans="1:22" s="138" customFormat="1" ht="15" customHeight="1" x14ac:dyDescent="0.2">
      <c r="A444" s="182" t="s">
        <v>18</v>
      </c>
      <c r="B444" s="182"/>
      <c r="C444" s="163" t="s">
        <v>222</v>
      </c>
      <c r="D444" s="163" t="s">
        <v>222</v>
      </c>
      <c r="E444" s="163" t="s">
        <v>222</v>
      </c>
      <c r="F444" s="163" t="s">
        <v>222</v>
      </c>
      <c r="G444" s="163" t="s">
        <v>222</v>
      </c>
      <c r="H444" s="159">
        <f>SUM(H443)</f>
        <v>3189.5</v>
      </c>
      <c r="I444" s="159">
        <f t="shared" ref="I444:P444" si="127">SUM(I443)</f>
        <v>2883.7</v>
      </c>
      <c r="J444" s="159">
        <f t="shared" si="127"/>
        <v>2704.6</v>
      </c>
      <c r="K444" s="160">
        <f t="shared" si="127"/>
        <v>138</v>
      </c>
      <c r="L444" s="159">
        <f t="shared" si="127"/>
        <v>479574</v>
      </c>
      <c r="M444" s="159">
        <f t="shared" si="127"/>
        <v>0</v>
      </c>
      <c r="N444" s="159">
        <f t="shared" si="127"/>
        <v>0</v>
      </c>
      <c r="O444" s="159">
        <f t="shared" si="127"/>
        <v>0</v>
      </c>
      <c r="P444" s="159">
        <f t="shared" si="127"/>
        <v>479574</v>
      </c>
      <c r="Q444" s="159">
        <f>L444/H444</f>
        <v>150.36024455243768</v>
      </c>
      <c r="R444" s="11" t="s">
        <v>222</v>
      </c>
      <c r="S444" s="4" t="s">
        <v>222</v>
      </c>
      <c r="T444" s="4" t="s">
        <v>222</v>
      </c>
      <c r="U444" s="240"/>
      <c r="V444" s="139">
        <f>L445-'виды работ '!C441</f>
        <v>0</v>
      </c>
    </row>
    <row r="445" spans="1:22" s="138" customFormat="1" ht="15.75" customHeight="1" x14ac:dyDescent="0.2">
      <c r="A445" s="186" t="s">
        <v>86</v>
      </c>
      <c r="B445" s="186"/>
      <c r="C445" s="186"/>
      <c r="D445" s="186"/>
      <c r="E445" s="186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  <c r="Q445" s="187"/>
      <c r="R445" s="187"/>
      <c r="S445" s="187"/>
      <c r="T445" s="187"/>
      <c r="U445" s="238"/>
      <c r="V445" s="139">
        <f>L446-'виды работ '!C442</f>
        <v>0</v>
      </c>
    </row>
    <row r="446" spans="1:22" s="138" customFormat="1" ht="15.75" customHeight="1" x14ac:dyDescent="0.2">
      <c r="A446" s="12">
        <f>A443+1</f>
        <v>278</v>
      </c>
      <c r="B446" s="5" t="s">
        <v>433</v>
      </c>
      <c r="C446" s="152">
        <v>1988</v>
      </c>
      <c r="D446" s="152"/>
      <c r="E446" s="152" t="s">
        <v>223</v>
      </c>
      <c r="F446" s="153">
        <v>3</v>
      </c>
      <c r="G446" s="153">
        <v>3</v>
      </c>
      <c r="H446" s="161">
        <v>1466.7</v>
      </c>
      <c r="I446" s="161">
        <v>1343.9</v>
      </c>
      <c r="J446" s="161">
        <v>1157.5999999999999</v>
      </c>
      <c r="K446" s="160">
        <v>68</v>
      </c>
      <c r="L446" s="161">
        <f>'виды работ '!C442</f>
        <v>4374525.09</v>
      </c>
      <c r="M446" s="159">
        <v>0</v>
      </c>
      <c r="N446" s="159">
        <v>0</v>
      </c>
      <c r="O446" s="159">
        <v>0</v>
      </c>
      <c r="P446" s="159">
        <f>L446</f>
        <v>4374525.09</v>
      </c>
      <c r="Q446" s="159">
        <f>L446/H446</f>
        <v>2982.5629576600531</v>
      </c>
      <c r="R446" s="161">
        <v>14593.7</v>
      </c>
      <c r="S446" s="4" t="s">
        <v>279</v>
      </c>
      <c r="T446" s="152" t="s">
        <v>231</v>
      </c>
      <c r="U446" s="237"/>
      <c r="V446" s="139">
        <f>L447-'виды работ '!C443</f>
        <v>0</v>
      </c>
    </row>
    <row r="447" spans="1:22" s="138" customFormat="1" ht="12.75" x14ac:dyDescent="0.2">
      <c r="A447" s="182" t="s">
        <v>18</v>
      </c>
      <c r="B447" s="182"/>
      <c r="C447" s="163" t="s">
        <v>222</v>
      </c>
      <c r="D447" s="163" t="s">
        <v>222</v>
      </c>
      <c r="E447" s="163" t="s">
        <v>222</v>
      </c>
      <c r="F447" s="163" t="s">
        <v>222</v>
      </c>
      <c r="G447" s="163" t="s">
        <v>222</v>
      </c>
      <c r="H447" s="161">
        <f t="shared" ref="H447:P447" si="128">SUM(H446:H446)</f>
        <v>1466.7</v>
      </c>
      <c r="I447" s="161">
        <f t="shared" si="128"/>
        <v>1343.9</v>
      </c>
      <c r="J447" s="161">
        <f t="shared" si="128"/>
        <v>1157.5999999999999</v>
      </c>
      <c r="K447" s="165">
        <f t="shared" si="128"/>
        <v>68</v>
      </c>
      <c r="L447" s="161">
        <f t="shared" si="128"/>
        <v>4374525.09</v>
      </c>
      <c r="M447" s="161">
        <f t="shared" si="128"/>
        <v>0</v>
      </c>
      <c r="N447" s="161">
        <f t="shared" si="128"/>
        <v>0</v>
      </c>
      <c r="O447" s="161">
        <f t="shared" si="128"/>
        <v>0</v>
      </c>
      <c r="P447" s="161">
        <f t="shared" si="128"/>
        <v>4374525.09</v>
      </c>
      <c r="Q447" s="159">
        <f>L447/H447</f>
        <v>2982.5629576600531</v>
      </c>
      <c r="R447" s="11" t="s">
        <v>222</v>
      </c>
      <c r="S447" s="4" t="s">
        <v>222</v>
      </c>
      <c r="T447" s="4" t="s">
        <v>222</v>
      </c>
      <c r="U447" s="237"/>
      <c r="V447" s="139">
        <f>L448-'виды работ '!C444</f>
        <v>0</v>
      </c>
    </row>
    <row r="448" spans="1:22" s="138" customFormat="1" ht="12.75" x14ac:dyDescent="0.2">
      <c r="A448" s="169" t="s">
        <v>87</v>
      </c>
      <c r="B448" s="169"/>
      <c r="C448" s="169"/>
      <c r="D448" s="169"/>
      <c r="E448" s="169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Q448" s="187"/>
      <c r="R448" s="187"/>
      <c r="S448" s="187"/>
      <c r="T448" s="187"/>
      <c r="U448" s="237"/>
      <c r="V448" s="139">
        <f>L449-'виды работ '!C445</f>
        <v>0</v>
      </c>
    </row>
    <row r="449" spans="1:22" s="138" customFormat="1" ht="12.75" x14ac:dyDescent="0.2">
      <c r="A449" s="13">
        <f>A446+1</f>
        <v>279</v>
      </c>
      <c r="B449" s="5" t="s">
        <v>434</v>
      </c>
      <c r="C449" s="152">
        <v>1967</v>
      </c>
      <c r="D449" s="152"/>
      <c r="E449" s="152" t="s">
        <v>219</v>
      </c>
      <c r="F449" s="152">
        <v>2</v>
      </c>
      <c r="G449" s="152">
        <v>2</v>
      </c>
      <c r="H449" s="152">
        <v>531.4</v>
      </c>
      <c r="I449" s="152">
        <v>439.42</v>
      </c>
      <c r="J449" s="152">
        <v>103.3</v>
      </c>
      <c r="K449" s="152">
        <v>27</v>
      </c>
      <c r="L449" s="161">
        <f>'виды работ '!C445</f>
        <v>2419299.7200000002</v>
      </c>
      <c r="M449" s="159">
        <v>0</v>
      </c>
      <c r="N449" s="159">
        <v>0</v>
      </c>
      <c r="O449" s="159">
        <v>0</v>
      </c>
      <c r="P449" s="159">
        <f>L449</f>
        <v>2419299.7200000002</v>
      </c>
      <c r="Q449" s="159">
        <f>L449/H449</f>
        <v>4552.6904779826882</v>
      </c>
      <c r="R449" s="161">
        <v>14593.7</v>
      </c>
      <c r="S449" s="4" t="s">
        <v>279</v>
      </c>
      <c r="T449" s="152" t="s">
        <v>231</v>
      </c>
      <c r="U449" s="237"/>
      <c r="V449" s="139">
        <f>L450-'виды работ '!C446</f>
        <v>0</v>
      </c>
    </row>
    <row r="450" spans="1:22" s="138" customFormat="1" ht="12.75" x14ac:dyDescent="0.2">
      <c r="A450" s="13">
        <f>A449+1</f>
        <v>280</v>
      </c>
      <c r="B450" s="5" t="s">
        <v>435</v>
      </c>
      <c r="C450" s="152">
        <v>1968</v>
      </c>
      <c r="D450" s="152"/>
      <c r="E450" s="152" t="s">
        <v>219</v>
      </c>
      <c r="F450" s="152">
        <v>2</v>
      </c>
      <c r="G450" s="152">
        <v>2</v>
      </c>
      <c r="H450" s="152">
        <v>513.29999999999995</v>
      </c>
      <c r="I450" s="152">
        <v>424.45</v>
      </c>
      <c r="J450" s="152">
        <v>150.5</v>
      </c>
      <c r="K450" s="152">
        <v>21</v>
      </c>
      <c r="L450" s="161">
        <f>'виды работ '!C446</f>
        <v>4258127.3</v>
      </c>
      <c r="M450" s="159">
        <v>0</v>
      </c>
      <c r="N450" s="159">
        <v>0</v>
      </c>
      <c r="O450" s="159">
        <v>0</v>
      </c>
      <c r="P450" s="159">
        <f>L450</f>
        <v>4258127.3</v>
      </c>
      <c r="Q450" s="159">
        <f>L450/H450</f>
        <v>8295.5918566140663</v>
      </c>
      <c r="R450" s="161">
        <v>14593.7</v>
      </c>
      <c r="S450" s="4" t="s">
        <v>279</v>
      </c>
      <c r="T450" s="152" t="s">
        <v>231</v>
      </c>
      <c r="U450" s="237"/>
      <c r="V450" s="139">
        <f>L451-'виды работ '!C447</f>
        <v>0</v>
      </c>
    </row>
    <row r="451" spans="1:22" s="138" customFormat="1" ht="12.75" x14ac:dyDescent="0.2">
      <c r="A451" s="182" t="s">
        <v>18</v>
      </c>
      <c r="B451" s="182"/>
      <c r="C451" s="163" t="s">
        <v>222</v>
      </c>
      <c r="D451" s="163" t="s">
        <v>222</v>
      </c>
      <c r="E451" s="163" t="s">
        <v>222</v>
      </c>
      <c r="F451" s="163" t="s">
        <v>222</v>
      </c>
      <c r="G451" s="163" t="s">
        <v>222</v>
      </c>
      <c r="H451" s="161">
        <f>SUM(H449:H450)</f>
        <v>1044.6999999999998</v>
      </c>
      <c r="I451" s="161">
        <f t="shared" ref="I451:P451" si="129">SUM(I449:I450)</f>
        <v>863.87</v>
      </c>
      <c r="J451" s="161">
        <f t="shared" si="129"/>
        <v>253.8</v>
      </c>
      <c r="K451" s="165">
        <f t="shared" si="129"/>
        <v>48</v>
      </c>
      <c r="L451" s="161">
        <f>SUM(L449:L450)</f>
        <v>6677427.0199999996</v>
      </c>
      <c r="M451" s="161">
        <f t="shared" si="129"/>
        <v>0</v>
      </c>
      <c r="N451" s="161">
        <f t="shared" si="129"/>
        <v>0</v>
      </c>
      <c r="O451" s="161">
        <f t="shared" si="129"/>
        <v>0</v>
      </c>
      <c r="P451" s="161">
        <f t="shared" si="129"/>
        <v>6677427.0199999996</v>
      </c>
      <c r="Q451" s="159">
        <f>L451/H451</f>
        <v>6391.7172585431235</v>
      </c>
      <c r="R451" s="11" t="s">
        <v>222</v>
      </c>
      <c r="S451" s="4" t="s">
        <v>222</v>
      </c>
      <c r="T451" s="4" t="s">
        <v>222</v>
      </c>
      <c r="U451" s="237"/>
      <c r="V451" s="139">
        <f>L452-'виды работ '!C448</f>
        <v>0</v>
      </c>
    </row>
    <row r="452" spans="1:22" s="138" customFormat="1" ht="15.75" customHeight="1" x14ac:dyDescent="0.2">
      <c r="A452" s="168" t="s">
        <v>88</v>
      </c>
      <c r="B452" s="168"/>
      <c r="C452" s="168"/>
      <c r="D452" s="168"/>
      <c r="E452" s="168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237"/>
      <c r="V452" s="139">
        <f>L453-'виды работ '!C449</f>
        <v>0</v>
      </c>
    </row>
    <row r="453" spans="1:22" s="138" customFormat="1" ht="15.75" customHeight="1" x14ac:dyDescent="0.2">
      <c r="A453" s="13">
        <f>A450+1</f>
        <v>281</v>
      </c>
      <c r="B453" s="155" t="s">
        <v>582</v>
      </c>
      <c r="C453" s="152">
        <v>1972</v>
      </c>
      <c r="D453" s="152"/>
      <c r="E453" s="152" t="s">
        <v>219</v>
      </c>
      <c r="F453" s="152">
        <v>5</v>
      </c>
      <c r="G453" s="152">
        <v>8</v>
      </c>
      <c r="H453" s="159">
        <v>7993.7</v>
      </c>
      <c r="I453" s="159">
        <v>5958.3</v>
      </c>
      <c r="J453" s="159">
        <v>5654</v>
      </c>
      <c r="K453" s="160">
        <v>286</v>
      </c>
      <c r="L453" s="163">
        <f>'виды работ '!C449</f>
        <v>733918.65</v>
      </c>
      <c r="M453" s="159">
        <v>0</v>
      </c>
      <c r="N453" s="159">
        <v>0</v>
      </c>
      <c r="O453" s="159">
        <v>0</v>
      </c>
      <c r="P453" s="159">
        <f>L453</f>
        <v>733918.65</v>
      </c>
      <c r="Q453" s="159">
        <f t="shared" ref="Q453:Q459" si="130">L453/H453</f>
        <v>91.812133304977678</v>
      </c>
      <c r="R453" s="161">
        <v>14593.7</v>
      </c>
      <c r="S453" s="4" t="s">
        <v>279</v>
      </c>
      <c r="T453" s="152" t="s">
        <v>231</v>
      </c>
      <c r="U453" s="237"/>
      <c r="V453" s="139">
        <f>L454-'виды работ '!C450</f>
        <v>0</v>
      </c>
    </row>
    <row r="454" spans="1:22" s="138" customFormat="1" ht="15.75" customHeight="1" x14ac:dyDescent="0.2">
      <c r="A454" s="13">
        <f>A453+1</f>
        <v>282</v>
      </c>
      <c r="B454" s="167" t="s">
        <v>591</v>
      </c>
      <c r="C454" s="63">
        <v>1968</v>
      </c>
      <c r="D454" s="63"/>
      <c r="E454" s="152" t="s">
        <v>219</v>
      </c>
      <c r="F454" s="6">
        <v>5</v>
      </c>
      <c r="G454" s="6">
        <v>6</v>
      </c>
      <c r="H454" s="8">
        <v>6046</v>
      </c>
      <c r="I454" s="8">
        <v>4357.7</v>
      </c>
      <c r="J454" s="8">
        <v>3875.7</v>
      </c>
      <c r="K454" s="64">
        <v>191</v>
      </c>
      <c r="L454" s="163">
        <f>'виды работ '!C450</f>
        <v>5972529.04</v>
      </c>
      <c r="M454" s="159">
        <v>0</v>
      </c>
      <c r="N454" s="159">
        <v>0</v>
      </c>
      <c r="O454" s="159">
        <v>0</v>
      </c>
      <c r="P454" s="159">
        <f>L454</f>
        <v>5972529.04</v>
      </c>
      <c r="Q454" s="159">
        <f t="shared" si="130"/>
        <v>987.8480052927556</v>
      </c>
      <c r="R454" s="161">
        <v>14593.7</v>
      </c>
      <c r="S454" s="4" t="s">
        <v>279</v>
      </c>
      <c r="T454" s="152" t="s">
        <v>231</v>
      </c>
      <c r="U454" s="237"/>
      <c r="V454" s="139">
        <f>L455-'виды работ '!C451</f>
        <v>0</v>
      </c>
    </row>
    <row r="455" spans="1:22" s="138" customFormat="1" ht="12.75" customHeight="1" x14ac:dyDescent="0.2">
      <c r="A455" s="13">
        <f>A454+1</f>
        <v>283</v>
      </c>
      <c r="B455" s="5" t="s">
        <v>436</v>
      </c>
      <c r="C455" s="50">
        <v>1961</v>
      </c>
      <c r="D455" s="50"/>
      <c r="E455" s="152" t="s">
        <v>219</v>
      </c>
      <c r="F455" s="50">
        <v>3</v>
      </c>
      <c r="G455" s="50">
        <v>2</v>
      </c>
      <c r="H455" s="65">
        <v>1351</v>
      </c>
      <c r="I455" s="50">
        <v>952.4</v>
      </c>
      <c r="J455" s="50">
        <v>908.2</v>
      </c>
      <c r="K455" s="50">
        <v>31</v>
      </c>
      <c r="L455" s="163">
        <f>'виды работ '!C451</f>
        <v>2383141.34</v>
      </c>
      <c r="M455" s="159">
        <v>0</v>
      </c>
      <c r="N455" s="159">
        <v>0</v>
      </c>
      <c r="O455" s="159">
        <v>0</v>
      </c>
      <c r="P455" s="159">
        <f>L455</f>
        <v>2383141.34</v>
      </c>
      <c r="Q455" s="159">
        <f t="shared" si="130"/>
        <v>1763.983227239082</v>
      </c>
      <c r="R455" s="161">
        <v>14593.7</v>
      </c>
      <c r="S455" s="4" t="s">
        <v>279</v>
      </c>
      <c r="T455" s="152" t="s">
        <v>231</v>
      </c>
      <c r="U455" s="237"/>
      <c r="V455" s="139">
        <f>L456-'виды работ '!C452</f>
        <v>0</v>
      </c>
    </row>
    <row r="456" spans="1:22" s="138" customFormat="1" ht="12.75" x14ac:dyDescent="0.2">
      <c r="A456" s="13">
        <f>A455+1</f>
        <v>284</v>
      </c>
      <c r="B456" s="5" t="s">
        <v>437</v>
      </c>
      <c r="C456" s="63">
        <v>1957</v>
      </c>
      <c r="D456" s="63"/>
      <c r="E456" s="152" t="s">
        <v>219</v>
      </c>
      <c r="F456" s="6">
        <v>2</v>
      </c>
      <c r="G456" s="6">
        <v>2</v>
      </c>
      <c r="H456" s="152">
        <v>685.5</v>
      </c>
      <c r="I456" s="8">
        <v>641.70000000000005</v>
      </c>
      <c r="J456" s="8">
        <v>544.4</v>
      </c>
      <c r="K456" s="64">
        <v>33</v>
      </c>
      <c r="L456" s="163">
        <f>'виды работ '!C452</f>
        <v>4564204.0600000005</v>
      </c>
      <c r="M456" s="159">
        <v>0</v>
      </c>
      <c r="N456" s="159">
        <v>0</v>
      </c>
      <c r="O456" s="159">
        <v>0</v>
      </c>
      <c r="P456" s="159">
        <f>L456</f>
        <v>4564204.0600000005</v>
      </c>
      <c r="Q456" s="159">
        <f t="shared" si="130"/>
        <v>6658.2116119620723</v>
      </c>
      <c r="R456" s="161">
        <v>14593.7</v>
      </c>
      <c r="S456" s="4" t="s">
        <v>279</v>
      </c>
      <c r="T456" s="152" t="s">
        <v>231</v>
      </c>
      <c r="U456" s="237"/>
      <c r="V456" s="139">
        <f>L457-'виды работ '!C453</f>
        <v>0</v>
      </c>
    </row>
    <row r="457" spans="1:22" s="138" customFormat="1" ht="15.75" customHeight="1" x14ac:dyDescent="0.2">
      <c r="A457" s="13">
        <f>A456+1</f>
        <v>285</v>
      </c>
      <c r="B457" s="155" t="s">
        <v>572</v>
      </c>
      <c r="C457" s="152">
        <v>1974</v>
      </c>
      <c r="D457" s="152"/>
      <c r="E457" s="152" t="s">
        <v>223</v>
      </c>
      <c r="F457" s="152">
        <v>5</v>
      </c>
      <c r="G457" s="152">
        <v>4</v>
      </c>
      <c r="H457" s="159">
        <v>2802</v>
      </c>
      <c r="I457" s="159">
        <v>2079.3000000000002</v>
      </c>
      <c r="J457" s="159">
        <v>1590.3</v>
      </c>
      <c r="K457" s="160">
        <v>111</v>
      </c>
      <c r="L457" s="163">
        <f>'виды работ '!C453</f>
        <v>5313728.2300000004</v>
      </c>
      <c r="M457" s="159">
        <v>0</v>
      </c>
      <c r="N457" s="159">
        <v>0</v>
      </c>
      <c r="O457" s="159">
        <v>0</v>
      </c>
      <c r="P457" s="159">
        <f>L457</f>
        <v>5313728.2300000004</v>
      </c>
      <c r="Q457" s="159">
        <f t="shared" si="130"/>
        <v>1896.4055067808711</v>
      </c>
      <c r="R457" s="161">
        <v>14593.7</v>
      </c>
      <c r="S457" s="4" t="s">
        <v>279</v>
      </c>
      <c r="T457" s="152" t="s">
        <v>231</v>
      </c>
      <c r="U457" s="237"/>
      <c r="V457" s="139">
        <f>L458-'виды работ '!C454</f>
        <v>0</v>
      </c>
    </row>
    <row r="458" spans="1:22" s="138" customFormat="1" ht="12.75" x14ac:dyDescent="0.2">
      <c r="A458" s="182" t="s">
        <v>18</v>
      </c>
      <c r="B458" s="182"/>
      <c r="C458" s="163" t="s">
        <v>222</v>
      </c>
      <c r="D458" s="163" t="s">
        <v>222</v>
      </c>
      <c r="E458" s="163" t="s">
        <v>222</v>
      </c>
      <c r="F458" s="163" t="s">
        <v>222</v>
      </c>
      <c r="G458" s="163" t="s">
        <v>222</v>
      </c>
      <c r="H458" s="161">
        <f t="shared" ref="H458:P458" si="131">SUM(H453:H457)</f>
        <v>18878.2</v>
      </c>
      <c r="I458" s="161">
        <f t="shared" si="131"/>
        <v>13989.400000000001</v>
      </c>
      <c r="J458" s="161">
        <f t="shared" si="131"/>
        <v>12572.6</v>
      </c>
      <c r="K458" s="165">
        <f t="shared" si="131"/>
        <v>652</v>
      </c>
      <c r="L458" s="161">
        <f t="shared" si="131"/>
        <v>18967521.32</v>
      </c>
      <c r="M458" s="161">
        <f t="shared" si="131"/>
        <v>0</v>
      </c>
      <c r="N458" s="161">
        <f t="shared" si="131"/>
        <v>0</v>
      </c>
      <c r="O458" s="161">
        <f t="shared" si="131"/>
        <v>0</v>
      </c>
      <c r="P458" s="161">
        <f t="shared" si="131"/>
        <v>18967521.32</v>
      </c>
      <c r="Q458" s="159">
        <f t="shared" si="130"/>
        <v>1004.7314532105815</v>
      </c>
      <c r="R458" s="11" t="s">
        <v>222</v>
      </c>
      <c r="S458" s="4" t="s">
        <v>222</v>
      </c>
      <c r="T458" s="4" t="s">
        <v>222</v>
      </c>
      <c r="U458" s="237"/>
      <c r="V458" s="139">
        <f>L459-'виды работ '!C455</f>
        <v>0</v>
      </c>
    </row>
    <row r="459" spans="1:22" s="230" customFormat="1" ht="12.75" x14ac:dyDescent="0.2">
      <c r="A459" s="181" t="s">
        <v>89</v>
      </c>
      <c r="B459" s="181"/>
      <c r="C459" s="181"/>
      <c r="D459" s="162" t="s">
        <v>222</v>
      </c>
      <c r="E459" s="162" t="s">
        <v>222</v>
      </c>
      <c r="F459" s="162" t="s">
        <v>222</v>
      </c>
      <c r="G459" s="162" t="s">
        <v>222</v>
      </c>
      <c r="H459" s="166">
        <f t="shared" ref="H459:P459" si="132">H447+H451+H458+H444</f>
        <v>24579.1</v>
      </c>
      <c r="I459" s="166">
        <f t="shared" si="132"/>
        <v>19080.870000000003</v>
      </c>
      <c r="J459" s="166">
        <f t="shared" si="132"/>
        <v>16688.599999999999</v>
      </c>
      <c r="K459" s="16">
        <f t="shared" si="132"/>
        <v>906</v>
      </c>
      <c r="L459" s="166">
        <f t="shared" si="132"/>
        <v>30499047.43</v>
      </c>
      <c r="M459" s="166">
        <f t="shared" si="132"/>
        <v>0</v>
      </c>
      <c r="N459" s="166">
        <f t="shared" si="132"/>
        <v>0</v>
      </c>
      <c r="O459" s="166">
        <f t="shared" si="132"/>
        <v>0</v>
      </c>
      <c r="P459" s="166">
        <f t="shared" si="132"/>
        <v>30499047.43</v>
      </c>
      <c r="Q459" s="158">
        <f t="shared" si="130"/>
        <v>1240.8528965665953</v>
      </c>
      <c r="R459" s="17" t="s">
        <v>222</v>
      </c>
      <c r="S459" s="18" t="s">
        <v>222</v>
      </c>
      <c r="T459" s="18" t="s">
        <v>222</v>
      </c>
      <c r="U459" s="166"/>
      <c r="V459" s="139">
        <f>L460-'виды работ '!C456</f>
        <v>0</v>
      </c>
    </row>
    <row r="460" spans="1:22" s="138" customFormat="1" ht="17.25" customHeight="1" x14ac:dyDescent="0.2">
      <c r="A460" s="185" t="s">
        <v>90</v>
      </c>
      <c r="B460" s="185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V460" s="139">
        <f>L461-'виды работ '!C457</f>
        <v>0</v>
      </c>
    </row>
    <row r="461" spans="1:22" s="138" customFormat="1" ht="17.25" customHeight="1" x14ac:dyDescent="0.2">
      <c r="A461" s="168" t="s">
        <v>91</v>
      </c>
      <c r="B461" s="168"/>
      <c r="C461" s="168"/>
      <c r="D461" s="168"/>
      <c r="E461" s="168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V461" s="139">
        <f>L462-'виды работ '!C458</f>
        <v>0</v>
      </c>
    </row>
    <row r="462" spans="1:22" s="138" customFormat="1" ht="15" customHeight="1" x14ac:dyDescent="0.2">
      <c r="A462" s="13">
        <f>A457+1</f>
        <v>286</v>
      </c>
      <c r="B462" s="5" t="s">
        <v>438</v>
      </c>
      <c r="C462" s="66">
        <v>1967</v>
      </c>
      <c r="D462" s="161"/>
      <c r="E462" s="152" t="s">
        <v>219</v>
      </c>
      <c r="F462" s="66">
        <v>2</v>
      </c>
      <c r="G462" s="66">
        <v>2</v>
      </c>
      <c r="H462" s="161">
        <v>567.9</v>
      </c>
      <c r="I462" s="161">
        <v>519.29999999999995</v>
      </c>
      <c r="J462" s="161">
        <v>420.4</v>
      </c>
      <c r="K462" s="66">
        <v>38</v>
      </c>
      <c r="L462" s="159">
        <f>'виды работ '!C458</f>
        <v>477102.87</v>
      </c>
      <c r="M462" s="159">
        <v>0</v>
      </c>
      <c r="N462" s="159">
        <v>0</v>
      </c>
      <c r="O462" s="159">
        <v>0</v>
      </c>
      <c r="P462" s="159">
        <f>L462</f>
        <v>477102.87</v>
      </c>
      <c r="Q462" s="159">
        <f>L462/H462</f>
        <v>840.11774960380353</v>
      </c>
      <c r="R462" s="161">
        <v>14593.7</v>
      </c>
      <c r="S462" s="4" t="s">
        <v>279</v>
      </c>
      <c r="T462" s="152" t="s">
        <v>231</v>
      </c>
      <c r="V462" s="139">
        <f>L463-'виды работ '!C459</f>
        <v>0</v>
      </c>
    </row>
    <row r="463" spans="1:22" s="138" customFormat="1" ht="12.75" x14ac:dyDescent="0.2">
      <c r="A463" s="182" t="s">
        <v>18</v>
      </c>
      <c r="B463" s="182"/>
      <c r="C463" s="163" t="s">
        <v>222</v>
      </c>
      <c r="D463" s="163" t="s">
        <v>222</v>
      </c>
      <c r="E463" s="163" t="s">
        <v>222</v>
      </c>
      <c r="F463" s="163" t="s">
        <v>222</v>
      </c>
      <c r="G463" s="163" t="s">
        <v>222</v>
      </c>
      <c r="H463" s="159">
        <f t="shared" ref="H463:P463" si="133">SUM(H462:H462)</f>
        <v>567.9</v>
      </c>
      <c r="I463" s="159">
        <f t="shared" si="133"/>
        <v>519.29999999999995</v>
      </c>
      <c r="J463" s="159">
        <f t="shared" si="133"/>
        <v>420.4</v>
      </c>
      <c r="K463" s="160">
        <f t="shared" si="133"/>
        <v>38</v>
      </c>
      <c r="L463" s="159">
        <f t="shared" si="133"/>
        <v>477102.87</v>
      </c>
      <c r="M463" s="159">
        <f t="shared" si="133"/>
        <v>0</v>
      </c>
      <c r="N463" s="159">
        <f t="shared" si="133"/>
        <v>0</v>
      </c>
      <c r="O463" s="159">
        <f t="shared" si="133"/>
        <v>0</v>
      </c>
      <c r="P463" s="159">
        <f t="shared" si="133"/>
        <v>477102.87</v>
      </c>
      <c r="Q463" s="159">
        <f>L463/H463</f>
        <v>840.11774960380353</v>
      </c>
      <c r="R463" s="11" t="s">
        <v>222</v>
      </c>
      <c r="S463" s="4" t="s">
        <v>222</v>
      </c>
      <c r="T463" s="4" t="s">
        <v>222</v>
      </c>
      <c r="U463" s="139"/>
      <c r="V463" s="139">
        <f>L464-'виды работ '!C460</f>
        <v>0</v>
      </c>
    </row>
    <row r="464" spans="1:22" s="138" customFormat="1" ht="12.75" x14ac:dyDescent="0.2">
      <c r="A464" s="168" t="s">
        <v>92</v>
      </c>
      <c r="B464" s="168"/>
      <c r="C464" s="168"/>
      <c r="D464" s="168"/>
      <c r="E464" s="168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39"/>
      <c r="V464" s="139">
        <f>L465-'виды работ '!C461</f>
        <v>0</v>
      </c>
    </row>
    <row r="465" spans="1:22" s="138" customFormat="1" ht="12.75" x14ac:dyDescent="0.2">
      <c r="A465" s="13">
        <f>A462+1</f>
        <v>287</v>
      </c>
      <c r="B465" s="5" t="s">
        <v>439</v>
      </c>
      <c r="C465" s="66">
        <v>1940</v>
      </c>
      <c r="D465" s="161"/>
      <c r="E465" s="152" t="s">
        <v>255</v>
      </c>
      <c r="F465" s="66">
        <v>2</v>
      </c>
      <c r="G465" s="66">
        <v>1</v>
      </c>
      <c r="H465" s="161">
        <v>170</v>
      </c>
      <c r="I465" s="161">
        <v>163</v>
      </c>
      <c r="J465" s="161">
        <v>54</v>
      </c>
      <c r="K465" s="66">
        <v>6</v>
      </c>
      <c r="L465" s="159">
        <f>'виды работ '!C461</f>
        <v>650235.43999999994</v>
      </c>
      <c r="M465" s="159">
        <v>0</v>
      </c>
      <c r="N465" s="159">
        <v>0</v>
      </c>
      <c r="O465" s="159">
        <v>0</v>
      </c>
      <c r="P465" s="159">
        <f>L465</f>
        <v>650235.43999999994</v>
      </c>
      <c r="Q465" s="159">
        <f>L465/H465</f>
        <v>3824.9143529411763</v>
      </c>
      <c r="R465" s="161">
        <v>14593.7</v>
      </c>
      <c r="S465" s="4" t="s">
        <v>279</v>
      </c>
      <c r="T465" s="152" t="s">
        <v>231</v>
      </c>
      <c r="U465" s="139"/>
      <c r="V465" s="139">
        <f>L466-'виды работ '!C462</f>
        <v>0</v>
      </c>
    </row>
    <row r="466" spans="1:22" s="138" customFormat="1" ht="12.75" x14ac:dyDescent="0.2">
      <c r="A466" s="182" t="s">
        <v>18</v>
      </c>
      <c r="B466" s="182"/>
      <c r="C466" s="163" t="s">
        <v>222</v>
      </c>
      <c r="D466" s="163" t="s">
        <v>222</v>
      </c>
      <c r="E466" s="163" t="s">
        <v>222</v>
      </c>
      <c r="F466" s="163" t="s">
        <v>222</v>
      </c>
      <c r="G466" s="163" t="s">
        <v>222</v>
      </c>
      <c r="H466" s="159">
        <f>SUM(H465)</f>
        <v>170</v>
      </c>
      <c r="I466" s="159">
        <f t="shared" ref="I466:P466" si="134">SUM(I465)</f>
        <v>163</v>
      </c>
      <c r="J466" s="159">
        <f t="shared" si="134"/>
        <v>54</v>
      </c>
      <c r="K466" s="160">
        <f t="shared" si="134"/>
        <v>6</v>
      </c>
      <c r="L466" s="159">
        <f t="shared" si="134"/>
        <v>650235.43999999994</v>
      </c>
      <c r="M466" s="159">
        <f t="shared" si="134"/>
        <v>0</v>
      </c>
      <c r="N466" s="159">
        <f t="shared" si="134"/>
        <v>0</v>
      </c>
      <c r="O466" s="159">
        <f t="shared" si="134"/>
        <v>0</v>
      </c>
      <c r="P466" s="159">
        <f t="shared" si="134"/>
        <v>650235.43999999994</v>
      </c>
      <c r="Q466" s="159">
        <f>L466/H466</f>
        <v>3824.9143529411763</v>
      </c>
      <c r="R466" s="11" t="s">
        <v>222</v>
      </c>
      <c r="S466" s="4" t="s">
        <v>222</v>
      </c>
      <c r="T466" s="4" t="s">
        <v>222</v>
      </c>
      <c r="U466" s="139"/>
      <c r="V466" s="139">
        <f>L467-'виды работ '!C463</f>
        <v>0</v>
      </c>
    </row>
    <row r="467" spans="1:22" s="138" customFormat="1" ht="17.25" customHeight="1" x14ac:dyDescent="0.2">
      <c r="A467" s="168" t="s">
        <v>93</v>
      </c>
      <c r="B467" s="168"/>
      <c r="C467" s="168"/>
      <c r="D467" s="168"/>
      <c r="E467" s="168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39"/>
      <c r="V467" s="139">
        <f>L468-'виды работ '!C464</f>
        <v>0</v>
      </c>
    </row>
    <row r="468" spans="1:22" s="138" customFormat="1" ht="17.25" customHeight="1" x14ac:dyDescent="0.2">
      <c r="A468" s="13">
        <f>A465+1</f>
        <v>288</v>
      </c>
      <c r="B468" s="155" t="s">
        <v>573</v>
      </c>
      <c r="C468" s="152">
        <v>1950</v>
      </c>
      <c r="D468" s="152"/>
      <c r="E468" s="152" t="s">
        <v>219</v>
      </c>
      <c r="F468" s="152">
        <v>2</v>
      </c>
      <c r="G468" s="152">
        <v>1</v>
      </c>
      <c r="H468" s="159">
        <v>231.09</v>
      </c>
      <c r="I468" s="159">
        <v>152.74</v>
      </c>
      <c r="J468" s="159">
        <v>124.76</v>
      </c>
      <c r="K468" s="160">
        <v>13</v>
      </c>
      <c r="L468" s="163">
        <f>'виды работ '!C464</f>
        <v>472682.42</v>
      </c>
      <c r="M468" s="159">
        <v>0</v>
      </c>
      <c r="N468" s="159">
        <v>0</v>
      </c>
      <c r="O468" s="159">
        <v>0</v>
      </c>
      <c r="P468" s="159">
        <f t="shared" ref="P468:P475" si="135">L468</f>
        <v>472682.42</v>
      </c>
      <c r="Q468" s="159">
        <f t="shared" ref="Q468:Q476" si="136">L468/H468</f>
        <v>2045.4473148989571</v>
      </c>
      <c r="R468" s="161">
        <v>14593.7</v>
      </c>
      <c r="S468" s="4" t="s">
        <v>279</v>
      </c>
      <c r="T468" s="152" t="s">
        <v>231</v>
      </c>
      <c r="U468" s="139"/>
      <c r="V468" s="139">
        <f>L469-'виды работ '!C465</f>
        <v>0</v>
      </c>
    </row>
    <row r="469" spans="1:22" s="138" customFormat="1" ht="17.25" customHeight="1" x14ac:dyDescent="0.2">
      <c r="A469" s="13">
        <f t="shared" ref="A469:A475" si="137">A468+1</f>
        <v>289</v>
      </c>
      <c r="B469" s="5" t="s">
        <v>440</v>
      </c>
      <c r="C469" s="66">
        <v>1975</v>
      </c>
      <c r="D469" s="161"/>
      <c r="E469" s="152" t="s">
        <v>219</v>
      </c>
      <c r="F469" s="66">
        <v>4</v>
      </c>
      <c r="G469" s="66">
        <v>6</v>
      </c>
      <c r="H469" s="161">
        <v>4773.41</v>
      </c>
      <c r="I469" s="161">
        <v>4573.4399999999996</v>
      </c>
      <c r="J469" s="161">
        <v>4280.38</v>
      </c>
      <c r="K469" s="165">
        <v>198</v>
      </c>
      <c r="L469" s="159">
        <f>'виды работ '!C465</f>
        <v>7756690.4699999997</v>
      </c>
      <c r="M469" s="159">
        <v>0</v>
      </c>
      <c r="N469" s="159">
        <v>0</v>
      </c>
      <c r="O469" s="159">
        <v>0</v>
      </c>
      <c r="P469" s="159">
        <f t="shared" si="135"/>
        <v>7756690.4699999997</v>
      </c>
      <c r="Q469" s="159">
        <f t="shared" si="136"/>
        <v>1624.9788872106105</v>
      </c>
      <c r="R469" s="161">
        <v>14593.7</v>
      </c>
      <c r="S469" s="4" t="s">
        <v>279</v>
      </c>
      <c r="T469" s="152" t="s">
        <v>231</v>
      </c>
      <c r="U469" s="139"/>
      <c r="V469" s="139">
        <f>L470-'виды работ '!C466</f>
        <v>0</v>
      </c>
    </row>
    <row r="470" spans="1:22" s="138" customFormat="1" ht="13.5" customHeight="1" x14ac:dyDescent="0.2">
      <c r="A470" s="13">
        <f t="shared" si="137"/>
        <v>290</v>
      </c>
      <c r="B470" s="5" t="s">
        <v>441</v>
      </c>
      <c r="C470" s="66">
        <v>1966</v>
      </c>
      <c r="D470" s="161"/>
      <c r="E470" s="152" t="s">
        <v>219</v>
      </c>
      <c r="F470" s="66">
        <v>5</v>
      </c>
      <c r="G470" s="66">
        <v>4</v>
      </c>
      <c r="H470" s="161">
        <v>2595.12</v>
      </c>
      <c r="I470" s="161">
        <v>1669.3</v>
      </c>
      <c r="J470" s="161">
        <v>1457.15</v>
      </c>
      <c r="K470" s="165">
        <v>19</v>
      </c>
      <c r="L470" s="159">
        <f>'виды работ '!C466</f>
        <v>1814075.62</v>
      </c>
      <c r="M470" s="159">
        <v>0</v>
      </c>
      <c r="N470" s="159">
        <v>0</v>
      </c>
      <c r="O470" s="159">
        <v>0</v>
      </c>
      <c r="P470" s="159">
        <f t="shared" si="135"/>
        <v>1814075.62</v>
      </c>
      <c r="Q470" s="159">
        <f t="shared" si="136"/>
        <v>699.0334242732514</v>
      </c>
      <c r="R470" s="161">
        <v>14593.7</v>
      </c>
      <c r="S470" s="4" t="s">
        <v>279</v>
      </c>
      <c r="T470" s="152" t="s">
        <v>231</v>
      </c>
      <c r="U470" s="139"/>
      <c r="V470" s="139">
        <f>L471-'виды работ '!C467</f>
        <v>0</v>
      </c>
    </row>
    <row r="471" spans="1:22" s="138" customFormat="1" ht="13.5" customHeight="1" x14ac:dyDescent="0.2">
      <c r="A471" s="13">
        <f t="shared" si="137"/>
        <v>291</v>
      </c>
      <c r="B471" s="5" t="s">
        <v>442</v>
      </c>
      <c r="C471" s="67">
        <v>1956</v>
      </c>
      <c r="D471" s="57"/>
      <c r="E471" s="152" t="s">
        <v>219</v>
      </c>
      <c r="F471" s="67">
        <v>2</v>
      </c>
      <c r="G471" s="67">
        <v>2</v>
      </c>
      <c r="H471" s="57">
        <v>626.29</v>
      </c>
      <c r="I471" s="159">
        <v>568.05999999999995</v>
      </c>
      <c r="J471" s="57">
        <v>534.27</v>
      </c>
      <c r="K471" s="60">
        <v>20</v>
      </c>
      <c r="L471" s="159">
        <f>'виды работ '!C467</f>
        <v>3129612.1900000004</v>
      </c>
      <c r="M471" s="159">
        <v>0</v>
      </c>
      <c r="N471" s="159">
        <v>0</v>
      </c>
      <c r="O471" s="159">
        <v>0</v>
      </c>
      <c r="P471" s="159">
        <f t="shared" si="135"/>
        <v>3129612.1900000004</v>
      </c>
      <c r="Q471" s="159">
        <f t="shared" si="136"/>
        <v>4997.0655606827513</v>
      </c>
      <c r="R471" s="161">
        <v>14593.7</v>
      </c>
      <c r="S471" s="4" t="s">
        <v>279</v>
      </c>
      <c r="T471" s="152" t="s">
        <v>231</v>
      </c>
      <c r="U471" s="139"/>
      <c r="V471" s="139">
        <f>L472-'виды работ '!C468</f>
        <v>0</v>
      </c>
    </row>
    <row r="472" spans="1:22" s="138" customFormat="1" ht="13.5" customHeight="1" x14ac:dyDescent="0.2">
      <c r="A472" s="13">
        <f t="shared" si="137"/>
        <v>292</v>
      </c>
      <c r="B472" s="5" t="s">
        <v>443</v>
      </c>
      <c r="C472" s="67">
        <v>1956</v>
      </c>
      <c r="D472" s="57"/>
      <c r="E472" s="152" t="s">
        <v>219</v>
      </c>
      <c r="F472" s="67">
        <v>2</v>
      </c>
      <c r="G472" s="67">
        <v>1</v>
      </c>
      <c r="H472" s="57">
        <v>431.11</v>
      </c>
      <c r="I472" s="159">
        <v>388.41</v>
      </c>
      <c r="J472" s="57">
        <v>345.42</v>
      </c>
      <c r="K472" s="60">
        <v>25</v>
      </c>
      <c r="L472" s="159">
        <f>'виды работ '!C468</f>
        <v>2079974.1400000001</v>
      </c>
      <c r="M472" s="159">
        <v>0</v>
      </c>
      <c r="N472" s="159">
        <v>0</v>
      </c>
      <c r="O472" s="159">
        <v>0</v>
      </c>
      <c r="P472" s="159">
        <f t="shared" si="135"/>
        <v>2079974.1400000001</v>
      </c>
      <c r="Q472" s="159">
        <f t="shared" si="136"/>
        <v>4824.6947182853564</v>
      </c>
      <c r="R472" s="161">
        <v>14593.7</v>
      </c>
      <c r="S472" s="4" t="s">
        <v>279</v>
      </c>
      <c r="T472" s="152" t="s">
        <v>231</v>
      </c>
      <c r="U472" s="139"/>
      <c r="V472" s="139">
        <f>L473-'виды работ '!C469</f>
        <v>0</v>
      </c>
    </row>
    <row r="473" spans="1:22" s="138" customFormat="1" ht="13.5" customHeight="1" x14ac:dyDescent="0.2">
      <c r="A473" s="13">
        <f t="shared" si="137"/>
        <v>293</v>
      </c>
      <c r="B473" s="5" t="s">
        <v>444</v>
      </c>
      <c r="C473" s="67">
        <v>1954</v>
      </c>
      <c r="D473" s="57"/>
      <c r="E473" s="152" t="s">
        <v>219</v>
      </c>
      <c r="F473" s="67">
        <v>2</v>
      </c>
      <c r="G473" s="67">
        <v>1</v>
      </c>
      <c r="H473" s="57">
        <v>431.53</v>
      </c>
      <c r="I473" s="57">
        <v>388.31</v>
      </c>
      <c r="J473" s="57">
        <v>282.39</v>
      </c>
      <c r="K473" s="60">
        <v>17</v>
      </c>
      <c r="L473" s="159">
        <f>'виды работ '!C469</f>
        <v>2086586.7000000002</v>
      </c>
      <c r="M473" s="159">
        <v>0</v>
      </c>
      <c r="N473" s="159">
        <v>0</v>
      </c>
      <c r="O473" s="159">
        <v>0</v>
      </c>
      <c r="P473" s="159">
        <f t="shared" si="135"/>
        <v>2086586.7000000002</v>
      </c>
      <c r="Q473" s="159">
        <f t="shared" si="136"/>
        <v>4835.3224573030848</v>
      </c>
      <c r="R473" s="161">
        <v>14593.7</v>
      </c>
      <c r="S473" s="4" t="s">
        <v>279</v>
      </c>
      <c r="T473" s="152" t="s">
        <v>231</v>
      </c>
      <c r="U473" s="139"/>
      <c r="V473" s="139">
        <f>L474-'виды работ '!C470</f>
        <v>0</v>
      </c>
    </row>
    <row r="474" spans="1:22" s="138" customFormat="1" ht="13.5" customHeight="1" x14ac:dyDescent="0.2">
      <c r="A474" s="13">
        <f t="shared" si="137"/>
        <v>294</v>
      </c>
      <c r="B474" s="5" t="s">
        <v>445</v>
      </c>
      <c r="C474" s="67">
        <v>1953</v>
      </c>
      <c r="D474" s="57"/>
      <c r="E474" s="152" t="s">
        <v>219</v>
      </c>
      <c r="F474" s="67">
        <v>2</v>
      </c>
      <c r="G474" s="67">
        <v>2</v>
      </c>
      <c r="H474" s="57">
        <v>602</v>
      </c>
      <c r="I474" s="159">
        <v>566.22</v>
      </c>
      <c r="J474" s="57">
        <v>401.41</v>
      </c>
      <c r="K474" s="60">
        <v>25</v>
      </c>
      <c r="L474" s="159">
        <f>'виды работ '!C470</f>
        <v>3097959.92</v>
      </c>
      <c r="M474" s="159">
        <v>0</v>
      </c>
      <c r="N474" s="159">
        <v>0</v>
      </c>
      <c r="O474" s="159">
        <v>0</v>
      </c>
      <c r="P474" s="159">
        <f t="shared" si="135"/>
        <v>3097959.92</v>
      </c>
      <c r="Q474" s="159">
        <f t="shared" si="136"/>
        <v>5146.1128239202653</v>
      </c>
      <c r="R474" s="161">
        <v>14593.7</v>
      </c>
      <c r="S474" s="4" t="s">
        <v>279</v>
      </c>
      <c r="T474" s="152" t="s">
        <v>231</v>
      </c>
      <c r="U474" s="139"/>
      <c r="V474" s="139">
        <f>L475-'виды работ '!C471</f>
        <v>0</v>
      </c>
    </row>
    <row r="475" spans="1:22" s="138" customFormat="1" ht="13.5" customHeight="1" x14ac:dyDescent="0.2">
      <c r="A475" s="13">
        <f t="shared" si="137"/>
        <v>295</v>
      </c>
      <c r="B475" s="5" t="s">
        <v>446</v>
      </c>
      <c r="C475" s="67">
        <v>1953</v>
      </c>
      <c r="D475" s="57"/>
      <c r="E475" s="152" t="s">
        <v>219</v>
      </c>
      <c r="F475" s="67">
        <v>2</v>
      </c>
      <c r="G475" s="67">
        <v>2</v>
      </c>
      <c r="H475" s="57">
        <v>613.92999999999995</v>
      </c>
      <c r="I475" s="159">
        <v>551.99</v>
      </c>
      <c r="J475" s="57">
        <v>466.15</v>
      </c>
      <c r="K475" s="60">
        <v>16</v>
      </c>
      <c r="L475" s="159">
        <f>'виды работ '!C471</f>
        <v>3106288.83</v>
      </c>
      <c r="M475" s="159">
        <v>0</v>
      </c>
      <c r="N475" s="159">
        <v>0</v>
      </c>
      <c r="O475" s="159">
        <v>0</v>
      </c>
      <c r="P475" s="159">
        <f t="shared" si="135"/>
        <v>3106288.83</v>
      </c>
      <c r="Q475" s="159">
        <f t="shared" si="136"/>
        <v>5059.6791653771606</v>
      </c>
      <c r="R475" s="161">
        <v>14593.7</v>
      </c>
      <c r="S475" s="4" t="s">
        <v>279</v>
      </c>
      <c r="T475" s="152" t="s">
        <v>231</v>
      </c>
      <c r="U475" s="139"/>
      <c r="V475" s="139">
        <f>L476-'виды работ '!C472</f>
        <v>0</v>
      </c>
    </row>
    <row r="476" spans="1:22" s="138" customFormat="1" ht="17.25" customHeight="1" x14ac:dyDescent="0.2">
      <c r="A476" s="182" t="s">
        <v>18</v>
      </c>
      <c r="B476" s="182"/>
      <c r="C476" s="163" t="s">
        <v>222</v>
      </c>
      <c r="D476" s="163" t="s">
        <v>222</v>
      </c>
      <c r="E476" s="163" t="s">
        <v>222</v>
      </c>
      <c r="F476" s="163" t="s">
        <v>222</v>
      </c>
      <c r="G476" s="163" t="s">
        <v>222</v>
      </c>
      <c r="H476" s="159">
        <f t="shared" ref="H476:P476" si="138">SUM(H468:H475)</f>
        <v>10304.480000000001</v>
      </c>
      <c r="I476" s="159">
        <f t="shared" si="138"/>
        <v>8858.4699999999993</v>
      </c>
      <c r="J476" s="159">
        <f t="shared" si="138"/>
        <v>7891.9300000000012</v>
      </c>
      <c r="K476" s="160">
        <f t="shared" si="138"/>
        <v>333</v>
      </c>
      <c r="L476" s="159">
        <f t="shared" si="138"/>
        <v>23543870.289999999</v>
      </c>
      <c r="M476" s="159">
        <f t="shared" si="138"/>
        <v>0</v>
      </c>
      <c r="N476" s="159">
        <f t="shared" si="138"/>
        <v>0</v>
      </c>
      <c r="O476" s="159">
        <f t="shared" si="138"/>
        <v>0</v>
      </c>
      <c r="P476" s="159">
        <f t="shared" si="138"/>
        <v>23543870.289999999</v>
      </c>
      <c r="Q476" s="159">
        <f t="shared" si="136"/>
        <v>2284.818864222163</v>
      </c>
      <c r="R476" s="11" t="s">
        <v>222</v>
      </c>
      <c r="S476" s="4" t="s">
        <v>222</v>
      </c>
      <c r="T476" s="4" t="s">
        <v>222</v>
      </c>
      <c r="U476" s="139"/>
      <c r="V476" s="139">
        <f>L477-'виды работ '!C473</f>
        <v>0</v>
      </c>
    </row>
    <row r="477" spans="1:22" s="138" customFormat="1" ht="17.25" customHeight="1" x14ac:dyDescent="0.2">
      <c r="A477" s="168" t="s">
        <v>94</v>
      </c>
      <c r="B477" s="168"/>
      <c r="C477" s="168"/>
      <c r="D477" s="168"/>
      <c r="E477" s="168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39"/>
      <c r="V477" s="139">
        <f>L478-'виды работ '!C474</f>
        <v>0</v>
      </c>
    </row>
    <row r="478" spans="1:22" s="138" customFormat="1" ht="17.25" customHeight="1" x14ac:dyDescent="0.2">
      <c r="A478" s="13">
        <f>A475+1</f>
        <v>296</v>
      </c>
      <c r="B478" s="5" t="s">
        <v>447</v>
      </c>
      <c r="C478" s="66">
        <v>1969</v>
      </c>
      <c r="D478" s="161"/>
      <c r="E478" s="152" t="s">
        <v>219</v>
      </c>
      <c r="F478" s="66">
        <v>2</v>
      </c>
      <c r="G478" s="66">
        <v>2</v>
      </c>
      <c r="H478" s="161">
        <v>608.4</v>
      </c>
      <c r="I478" s="161">
        <v>405.2</v>
      </c>
      <c r="J478" s="161">
        <v>316.5</v>
      </c>
      <c r="K478" s="66">
        <v>34</v>
      </c>
      <c r="L478" s="159">
        <f>'виды работ '!C474</f>
        <v>6109725.1500000004</v>
      </c>
      <c r="M478" s="159">
        <v>0</v>
      </c>
      <c r="N478" s="159">
        <v>0</v>
      </c>
      <c r="O478" s="159">
        <v>0</v>
      </c>
      <c r="P478" s="159">
        <f>L478</f>
        <v>6109725.1500000004</v>
      </c>
      <c r="Q478" s="159">
        <f>L478/H478</f>
        <v>10042.28328402367</v>
      </c>
      <c r="R478" s="161">
        <v>14593.7</v>
      </c>
      <c r="S478" s="4" t="s">
        <v>279</v>
      </c>
      <c r="T478" s="152" t="s">
        <v>231</v>
      </c>
      <c r="U478" s="139"/>
      <c r="V478" s="139">
        <f>L479-'виды работ '!C475</f>
        <v>0</v>
      </c>
    </row>
    <row r="479" spans="1:22" s="138" customFormat="1" ht="17.25" customHeight="1" x14ac:dyDescent="0.2">
      <c r="A479" s="182" t="s">
        <v>18</v>
      </c>
      <c r="B479" s="182"/>
      <c r="C479" s="163" t="s">
        <v>222</v>
      </c>
      <c r="D479" s="163" t="s">
        <v>222</v>
      </c>
      <c r="E479" s="163" t="s">
        <v>222</v>
      </c>
      <c r="F479" s="163" t="s">
        <v>222</v>
      </c>
      <c r="G479" s="163" t="s">
        <v>222</v>
      </c>
      <c r="H479" s="159">
        <f>SUM(H478)</f>
        <v>608.4</v>
      </c>
      <c r="I479" s="159">
        <f t="shared" ref="I479:P479" si="139">SUM(I478)</f>
        <v>405.2</v>
      </c>
      <c r="J479" s="159">
        <f t="shared" si="139"/>
        <v>316.5</v>
      </c>
      <c r="K479" s="160">
        <f t="shared" si="139"/>
        <v>34</v>
      </c>
      <c r="L479" s="159">
        <f t="shared" si="139"/>
        <v>6109725.1500000004</v>
      </c>
      <c r="M479" s="159">
        <f t="shared" si="139"/>
        <v>0</v>
      </c>
      <c r="N479" s="159">
        <f t="shared" si="139"/>
        <v>0</v>
      </c>
      <c r="O479" s="159">
        <f t="shared" si="139"/>
        <v>0</v>
      </c>
      <c r="P479" s="159">
        <f t="shared" si="139"/>
        <v>6109725.1500000004</v>
      </c>
      <c r="Q479" s="159">
        <f>L479/H479</f>
        <v>10042.28328402367</v>
      </c>
      <c r="R479" s="11" t="s">
        <v>222</v>
      </c>
      <c r="S479" s="4" t="s">
        <v>222</v>
      </c>
      <c r="T479" s="4" t="s">
        <v>222</v>
      </c>
      <c r="U479" s="139"/>
      <c r="V479" s="139">
        <f>L480-'виды работ '!C476</f>
        <v>0</v>
      </c>
    </row>
    <row r="480" spans="1:22" s="138" customFormat="1" ht="17.25" customHeight="1" x14ac:dyDescent="0.2">
      <c r="A480" s="168" t="s">
        <v>95</v>
      </c>
      <c r="B480" s="168"/>
      <c r="C480" s="168"/>
      <c r="D480" s="168"/>
      <c r="E480" s="168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39"/>
      <c r="V480" s="139">
        <f>L481-'виды работ '!C477</f>
        <v>0</v>
      </c>
    </row>
    <row r="481" spans="1:22" s="138" customFormat="1" ht="17.25" customHeight="1" x14ac:dyDescent="0.2">
      <c r="A481" s="13">
        <f>A478+1</f>
        <v>297</v>
      </c>
      <c r="B481" s="5" t="s">
        <v>448</v>
      </c>
      <c r="C481" s="68">
        <v>1965</v>
      </c>
      <c r="D481" s="161"/>
      <c r="E481" s="152" t="s">
        <v>223</v>
      </c>
      <c r="F481" s="66">
        <v>2</v>
      </c>
      <c r="G481" s="66">
        <v>2</v>
      </c>
      <c r="H481" s="161">
        <v>653.20000000000005</v>
      </c>
      <c r="I481" s="161">
        <v>404.4</v>
      </c>
      <c r="J481" s="161">
        <v>147.34</v>
      </c>
      <c r="K481" s="68">
        <v>35</v>
      </c>
      <c r="L481" s="159">
        <f>'виды работ '!C477</f>
        <v>3634619.9899999998</v>
      </c>
      <c r="M481" s="159">
        <v>0</v>
      </c>
      <c r="N481" s="159">
        <v>0</v>
      </c>
      <c r="O481" s="159">
        <v>0</v>
      </c>
      <c r="P481" s="159">
        <f t="shared" ref="P481:P487" si="140">L481</f>
        <v>3634619.9899999998</v>
      </c>
      <c r="Q481" s="159">
        <f t="shared" ref="Q481:Q488" si="141">L481/H481</f>
        <v>5564.3294396815672</v>
      </c>
      <c r="R481" s="161">
        <v>14593.7</v>
      </c>
      <c r="S481" s="4" t="s">
        <v>279</v>
      </c>
      <c r="T481" s="152" t="s">
        <v>231</v>
      </c>
      <c r="U481" s="139"/>
      <c r="V481" s="139">
        <f>L482-'виды работ '!C478</f>
        <v>0</v>
      </c>
    </row>
    <row r="482" spans="1:22" s="138" customFormat="1" ht="17.25" customHeight="1" x14ac:dyDescent="0.2">
      <c r="A482" s="13">
        <f t="shared" ref="A482:A487" si="142">A481+1</f>
        <v>298</v>
      </c>
      <c r="B482" s="5" t="s">
        <v>449</v>
      </c>
      <c r="C482" s="68">
        <v>1965</v>
      </c>
      <c r="D482" s="159"/>
      <c r="E482" s="152" t="s">
        <v>223</v>
      </c>
      <c r="F482" s="68">
        <v>2</v>
      </c>
      <c r="G482" s="68">
        <v>2</v>
      </c>
      <c r="H482" s="159">
        <v>658.2</v>
      </c>
      <c r="I482" s="159">
        <v>405.7</v>
      </c>
      <c r="J482" s="159">
        <v>114</v>
      </c>
      <c r="K482" s="68">
        <v>32</v>
      </c>
      <c r="L482" s="159">
        <f>'виды работ '!C478</f>
        <v>3638500.4</v>
      </c>
      <c r="M482" s="159">
        <v>0</v>
      </c>
      <c r="N482" s="159">
        <v>0</v>
      </c>
      <c r="O482" s="159">
        <v>0</v>
      </c>
      <c r="P482" s="159">
        <f t="shared" si="140"/>
        <v>3638500.4</v>
      </c>
      <c r="Q482" s="159">
        <f t="shared" si="141"/>
        <v>5527.9556365846238</v>
      </c>
      <c r="R482" s="161">
        <v>14593.7</v>
      </c>
      <c r="S482" s="4" t="s">
        <v>279</v>
      </c>
      <c r="T482" s="152" t="s">
        <v>231</v>
      </c>
      <c r="U482" s="139"/>
      <c r="V482" s="139">
        <f>L483-'виды работ '!C479</f>
        <v>0</v>
      </c>
    </row>
    <row r="483" spans="1:22" s="138" customFormat="1" ht="17.25" customHeight="1" x14ac:dyDescent="0.2">
      <c r="A483" s="13">
        <f t="shared" si="142"/>
        <v>299</v>
      </c>
      <c r="B483" s="5" t="s">
        <v>450</v>
      </c>
      <c r="C483" s="68">
        <v>1965</v>
      </c>
      <c r="D483" s="159"/>
      <c r="E483" s="152" t="s">
        <v>223</v>
      </c>
      <c r="F483" s="68">
        <v>2</v>
      </c>
      <c r="G483" s="68">
        <v>2</v>
      </c>
      <c r="H483" s="159">
        <v>663.6</v>
      </c>
      <c r="I483" s="159">
        <v>405.3</v>
      </c>
      <c r="J483" s="159">
        <v>130.1</v>
      </c>
      <c r="K483" s="68">
        <v>36</v>
      </c>
      <c r="L483" s="159">
        <f>'виды работ '!C479</f>
        <v>3638500.4</v>
      </c>
      <c r="M483" s="159">
        <v>0</v>
      </c>
      <c r="N483" s="159">
        <v>0</v>
      </c>
      <c r="O483" s="159">
        <v>0</v>
      </c>
      <c r="P483" s="159">
        <f t="shared" si="140"/>
        <v>3638500.4</v>
      </c>
      <c r="Q483" s="159">
        <f t="shared" si="141"/>
        <v>5482.9722724532849</v>
      </c>
      <c r="R483" s="161">
        <v>14593.7</v>
      </c>
      <c r="S483" s="4" t="s">
        <v>279</v>
      </c>
      <c r="T483" s="152" t="s">
        <v>231</v>
      </c>
      <c r="U483" s="139"/>
      <c r="V483" s="139">
        <f>L484-'виды работ '!C480</f>
        <v>0</v>
      </c>
    </row>
    <row r="484" spans="1:22" s="138" customFormat="1" ht="17.25" customHeight="1" x14ac:dyDescent="0.2">
      <c r="A484" s="13">
        <f t="shared" si="142"/>
        <v>300</v>
      </c>
      <c r="B484" s="5" t="s">
        <v>451</v>
      </c>
      <c r="C484" s="68">
        <v>1965</v>
      </c>
      <c r="D484" s="159"/>
      <c r="E484" s="152" t="s">
        <v>223</v>
      </c>
      <c r="F484" s="68">
        <v>2</v>
      </c>
      <c r="G484" s="68">
        <v>2</v>
      </c>
      <c r="H484" s="159">
        <v>654.70000000000005</v>
      </c>
      <c r="I484" s="159">
        <v>416.1</v>
      </c>
      <c r="J484" s="159">
        <v>82.8</v>
      </c>
      <c r="K484" s="68">
        <v>39</v>
      </c>
      <c r="L484" s="159">
        <f>'виды работ '!C480</f>
        <v>3638500.4</v>
      </c>
      <c r="M484" s="159">
        <v>0</v>
      </c>
      <c r="N484" s="159">
        <v>0</v>
      </c>
      <c r="O484" s="159">
        <v>0</v>
      </c>
      <c r="P484" s="159">
        <f t="shared" si="140"/>
        <v>3638500.4</v>
      </c>
      <c r="Q484" s="159">
        <f t="shared" si="141"/>
        <v>5557.5078661982579</v>
      </c>
      <c r="R484" s="161">
        <v>14593.7</v>
      </c>
      <c r="S484" s="4" t="s">
        <v>279</v>
      </c>
      <c r="T484" s="152" t="s">
        <v>231</v>
      </c>
      <c r="U484" s="139"/>
      <c r="V484" s="139">
        <f>L485-'виды работ '!C481</f>
        <v>0</v>
      </c>
    </row>
    <row r="485" spans="1:22" s="138" customFormat="1" ht="17.25" customHeight="1" x14ac:dyDescent="0.2">
      <c r="A485" s="13">
        <f t="shared" si="142"/>
        <v>301</v>
      </c>
      <c r="B485" s="5" t="s">
        <v>452</v>
      </c>
      <c r="C485" s="66">
        <v>1964</v>
      </c>
      <c r="D485" s="161"/>
      <c r="E485" s="152" t="s">
        <v>219</v>
      </c>
      <c r="F485" s="66">
        <v>2</v>
      </c>
      <c r="G485" s="66">
        <v>2</v>
      </c>
      <c r="H485" s="161">
        <v>635.25</v>
      </c>
      <c r="I485" s="161">
        <v>429.98</v>
      </c>
      <c r="J485" s="161">
        <v>294.10000000000002</v>
      </c>
      <c r="K485" s="66">
        <v>27</v>
      </c>
      <c r="L485" s="159">
        <f>'виды работ '!C481</f>
        <v>1330620.72</v>
      </c>
      <c r="M485" s="159">
        <v>0</v>
      </c>
      <c r="N485" s="159">
        <v>0</v>
      </c>
      <c r="O485" s="159">
        <v>0</v>
      </c>
      <c r="P485" s="159">
        <f t="shared" si="140"/>
        <v>1330620.72</v>
      </c>
      <c r="Q485" s="159">
        <f t="shared" si="141"/>
        <v>2094.6410389610387</v>
      </c>
      <c r="R485" s="161">
        <v>14593.7</v>
      </c>
      <c r="S485" s="4" t="s">
        <v>279</v>
      </c>
      <c r="T485" s="152" t="s">
        <v>231</v>
      </c>
      <c r="U485" s="139"/>
      <c r="V485" s="139">
        <f>L486-'виды работ '!C482</f>
        <v>0</v>
      </c>
    </row>
    <row r="486" spans="1:22" s="138" customFormat="1" ht="17.25" customHeight="1" x14ac:dyDescent="0.2">
      <c r="A486" s="13">
        <f t="shared" si="142"/>
        <v>302</v>
      </c>
      <c r="B486" s="5" t="s">
        <v>453</v>
      </c>
      <c r="C486" s="68">
        <v>1973</v>
      </c>
      <c r="D486" s="66"/>
      <c r="E486" s="152" t="s">
        <v>223</v>
      </c>
      <c r="F486" s="66">
        <v>2</v>
      </c>
      <c r="G486" s="66">
        <v>2</v>
      </c>
      <c r="H486" s="161">
        <v>773.51</v>
      </c>
      <c r="I486" s="161">
        <v>525.62</v>
      </c>
      <c r="J486" s="161">
        <v>266.49</v>
      </c>
      <c r="K486" s="68">
        <v>40</v>
      </c>
      <c r="L486" s="159">
        <f>'виды работ '!C482</f>
        <v>1928873.71</v>
      </c>
      <c r="M486" s="159">
        <v>0</v>
      </c>
      <c r="N486" s="159">
        <v>0</v>
      </c>
      <c r="O486" s="159">
        <v>0</v>
      </c>
      <c r="P486" s="159">
        <f t="shared" si="140"/>
        <v>1928873.71</v>
      </c>
      <c r="Q486" s="159">
        <f t="shared" si="141"/>
        <v>2493.6635725459269</v>
      </c>
      <c r="R486" s="161">
        <v>14593.7</v>
      </c>
      <c r="S486" s="4" t="s">
        <v>279</v>
      </c>
      <c r="T486" s="152" t="s">
        <v>231</v>
      </c>
      <c r="U486" s="139"/>
      <c r="V486" s="139">
        <f>L487-'виды работ '!C483</f>
        <v>0</v>
      </c>
    </row>
    <row r="487" spans="1:22" s="138" customFormat="1" ht="17.25" customHeight="1" x14ac:dyDescent="0.2">
      <c r="A487" s="13">
        <f t="shared" si="142"/>
        <v>303</v>
      </c>
      <c r="B487" s="5" t="s">
        <v>454</v>
      </c>
      <c r="C487" s="68">
        <v>1955</v>
      </c>
      <c r="D487" s="66"/>
      <c r="E487" s="152" t="s">
        <v>219</v>
      </c>
      <c r="F487" s="66">
        <v>2</v>
      </c>
      <c r="G487" s="66">
        <v>2</v>
      </c>
      <c r="H487" s="161">
        <v>385.7</v>
      </c>
      <c r="I487" s="161">
        <v>328.7</v>
      </c>
      <c r="J487" s="161">
        <v>125.09</v>
      </c>
      <c r="K487" s="68">
        <v>14</v>
      </c>
      <c r="L487" s="159">
        <f>'виды работ '!C483</f>
        <v>3535440.2</v>
      </c>
      <c r="M487" s="159">
        <v>0</v>
      </c>
      <c r="N487" s="159">
        <v>0</v>
      </c>
      <c r="O487" s="159">
        <v>0</v>
      </c>
      <c r="P487" s="159">
        <f t="shared" si="140"/>
        <v>3535440.2</v>
      </c>
      <c r="Q487" s="159">
        <f t="shared" si="141"/>
        <v>9166.2955665024638</v>
      </c>
      <c r="R487" s="161">
        <v>14593.7</v>
      </c>
      <c r="S487" s="4" t="s">
        <v>279</v>
      </c>
      <c r="T487" s="152" t="s">
        <v>231</v>
      </c>
      <c r="U487" s="139"/>
      <c r="V487" s="139">
        <f>L488-'виды работ '!C484</f>
        <v>0</v>
      </c>
    </row>
    <row r="488" spans="1:22" s="138" customFormat="1" ht="17.25" customHeight="1" x14ac:dyDescent="0.2">
      <c r="A488" s="182" t="s">
        <v>18</v>
      </c>
      <c r="B488" s="182"/>
      <c r="C488" s="163" t="s">
        <v>222</v>
      </c>
      <c r="D488" s="163" t="s">
        <v>222</v>
      </c>
      <c r="E488" s="163" t="s">
        <v>222</v>
      </c>
      <c r="F488" s="163" t="s">
        <v>222</v>
      </c>
      <c r="G488" s="163" t="s">
        <v>222</v>
      </c>
      <c r="H488" s="159">
        <f>SUM(H481:H487)</f>
        <v>4424.16</v>
      </c>
      <c r="I488" s="159">
        <f t="shared" ref="I488:P488" si="143">SUM(I481:I487)</f>
        <v>2915.7999999999997</v>
      </c>
      <c r="J488" s="159">
        <f t="shared" si="143"/>
        <v>1159.92</v>
      </c>
      <c r="K488" s="160">
        <f t="shared" si="143"/>
        <v>223</v>
      </c>
      <c r="L488" s="159">
        <f>SUM(L481:L487)</f>
        <v>21345055.82</v>
      </c>
      <c r="M488" s="159">
        <f t="shared" si="143"/>
        <v>0</v>
      </c>
      <c r="N488" s="159">
        <f t="shared" si="143"/>
        <v>0</v>
      </c>
      <c r="O488" s="159">
        <f t="shared" si="143"/>
        <v>0</v>
      </c>
      <c r="P488" s="159">
        <f t="shared" si="143"/>
        <v>21345055.82</v>
      </c>
      <c r="Q488" s="159">
        <f t="shared" si="141"/>
        <v>4824.6572953961886</v>
      </c>
      <c r="R488" s="11" t="s">
        <v>222</v>
      </c>
      <c r="S488" s="4" t="s">
        <v>222</v>
      </c>
      <c r="T488" s="4" t="s">
        <v>222</v>
      </c>
      <c r="U488" s="139"/>
      <c r="V488" s="139">
        <f>L489-'виды работ '!C485</f>
        <v>0</v>
      </c>
    </row>
    <row r="489" spans="1:22" s="138" customFormat="1" ht="17.25" customHeight="1" x14ac:dyDescent="0.2">
      <c r="A489" s="168" t="s">
        <v>96</v>
      </c>
      <c r="B489" s="168"/>
      <c r="C489" s="168"/>
      <c r="D489" s="168"/>
      <c r="E489" s="168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39"/>
      <c r="V489" s="139">
        <f>L490-'виды работ '!C486</f>
        <v>0</v>
      </c>
    </row>
    <row r="490" spans="1:22" s="138" customFormat="1" ht="17.25" customHeight="1" x14ac:dyDescent="0.2">
      <c r="A490" s="13">
        <f>A487+1</f>
        <v>304</v>
      </c>
      <c r="B490" s="69" t="s">
        <v>455</v>
      </c>
      <c r="C490" s="152">
        <v>1951</v>
      </c>
      <c r="D490" s="152"/>
      <c r="E490" s="152" t="s">
        <v>219</v>
      </c>
      <c r="F490" s="152">
        <v>2</v>
      </c>
      <c r="G490" s="152">
        <v>2</v>
      </c>
      <c r="H490" s="152">
        <v>411.2</v>
      </c>
      <c r="I490" s="70">
        <v>408.4</v>
      </c>
      <c r="J490" s="152">
        <v>353.1</v>
      </c>
      <c r="K490" s="160">
        <v>18</v>
      </c>
      <c r="L490" s="159">
        <f>'виды работ '!C486</f>
        <v>3096547.6</v>
      </c>
      <c r="M490" s="159">
        <v>0</v>
      </c>
      <c r="N490" s="159">
        <v>0</v>
      </c>
      <c r="O490" s="159">
        <v>0</v>
      </c>
      <c r="P490" s="159">
        <f>L490</f>
        <v>3096547.6</v>
      </c>
      <c r="Q490" s="159">
        <f>L490/H490</f>
        <v>7530.514591439689</v>
      </c>
      <c r="R490" s="161">
        <v>14593.7</v>
      </c>
      <c r="S490" s="4" t="s">
        <v>279</v>
      </c>
      <c r="T490" s="152" t="s">
        <v>231</v>
      </c>
      <c r="U490" s="139"/>
      <c r="V490" s="139">
        <f>L491-'виды работ '!C487</f>
        <v>0</v>
      </c>
    </row>
    <row r="491" spans="1:22" s="138" customFormat="1" ht="17.25" customHeight="1" x14ac:dyDescent="0.2">
      <c r="A491" s="13">
        <f>A490+1</f>
        <v>305</v>
      </c>
      <c r="B491" s="71" t="s">
        <v>574</v>
      </c>
      <c r="C491" s="152">
        <v>1972</v>
      </c>
      <c r="D491" s="152"/>
      <c r="E491" s="152" t="s">
        <v>219</v>
      </c>
      <c r="F491" s="152">
        <v>2</v>
      </c>
      <c r="G491" s="152">
        <v>2</v>
      </c>
      <c r="H491" s="159">
        <v>733.06</v>
      </c>
      <c r="I491" s="159">
        <v>697.8</v>
      </c>
      <c r="J491" s="159">
        <v>418.5</v>
      </c>
      <c r="K491" s="160">
        <v>36</v>
      </c>
      <c r="L491" s="163">
        <f>'виды работ '!C487</f>
        <v>1020184.63</v>
      </c>
      <c r="M491" s="159">
        <v>0</v>
      </c>
      <c r="N491" s="159">
        <v>0</v>
      </c>
      <c r="O491" s="159">
        <v>0</v>
      </c>
      <c r="P491" s="159">
        <f>L491</f>
        <v>1020184.63</v>
      </c>
      <c r="Q491" s="159">
        <f>L491/H491</f>
        <v>1391.6795760237908</v>
      </c>
      <c r="R491" s="161">
        <v>14593.7</v>
      </c>
      <c r="S491" s="4" t="s">
        <v>279</v>
      </c>
      <c r="T491" s="152" t="s">
        <v>231</v>
      </c>
      <c r="U491" s="139"/>
      <c r="V491" s="139">
        <f>L492-'виды работ '!C488</f>
        <v>0</v>
      </c>
    </row>
    <row r="492" spans="1:22" s="138" customFormat="1" ht="17.25" customHeight="1" x14ac:dyDescent="0.2">
      <c r="A492" s="13">
        <f>A491+1</f>
        <v>306</v>
      </c>
      <c r="B492" s="69" t="s">
        <v>97</v>
      </c>
      <c r="C492" s="152">
        <v>1964</v>
      </c>
      <c r="D492" s="152"/>
      <c r="E492" s="152" t="s">
        <v>219</v>
      </c>
      <c r="F492" s="152">
        <v>2</v>
      </c>
      <c r="G492" s="152">
        <v>2</v>
      </c>
      <c r="H492" s="72">
        <v>651.42999999999995</v>
      </c>
      <c r="I492" s="72">
        <v>651.42999999999995</v>
      </c>
      <c r="J492" s="159">
        <v>555.69000000000005</v>
      </c>
      <c r="K492" s="160">
        <v>30</v>
      </c>
      <c r="L492" s="159">
        <f>'виды работ '!C488</f>
        <v>3104802.9</v>
      </c>
      <c r="M492" s="159">
        <v>0</v>
      </c>
      <c r="N492" s="159">
        <v>0</v>
      </c>
      <c r="O492" s="159">
        <v>0</v>
      </c>
      <c r="P492" s="159">
        <f>L492</f>
        <v>3104802.9</v>
      </c>
      <c r="Q492" s="159">
        <f>L492/H492</f>
        <v>4766.1343505825644</v>
      </c>
      <c r="R492" s="161">
        <v>14593.7</v>
      </c>
      <c r="S492" s="4" t="s">
        <v>279</v>
      </c>
      <c r="T492" s="152" t="s">
        <v>231</v>
      </c>
      <c r="U492" s="139"/>
      <c r="V492" s="139">
        <f>L493-'виды работ '!C489</f>
        <v>0</v>
      </c>
    </row>
    <row r="493" spans="1:22" s="230" customFormat="1" ht="17.25" customHeight="1" x14ac:dyDescent="0.2">
      <c r="A493" s="182" t="s">
        <v>18</v>
      </c>
      <c r="B493" s="182"/>
      <c r="C493" s="163" t="s">
        <v>222</v>
      </c>
      <c r="D493" s="163" t="s">
        <v>222</v>
      </c>
      <c r="E493" s="163" t="s">
        <v>222</v>
      </c>
      <c r="F493" s="163" t="s">
        <v>222</v>
      </c>
      <c r="G493" s="163" t="s">
        <v>222</v>
      </c>
      <c r="H493" s="159">
        <f>SUM(H490:H492)</f>
        <v>1795.69</v>
      </c>
      <c r="I493" s="159">
        <f t="shared" ref="I493:P493" si="144">SUM(I490:I492)</f>
        <v>1757.6299999999997</v>
      </c>
      <c r="J493" s="159">
        <f t="shared" si="144"/>
        <v>1327.29</v>
      </c>
      <c r="K493" s="160">
        <f t="shared" si="144"/>
        <v>84</v>
      </c>
      <c r="L493" s="159">
        <f t="shared" si="144"/>
        <v>7221535.1299999999</v>
      </c>
      <c r="M493" s="159">
        <f t="shared" si="144"/>
        <v>0</v>
      </c>
      <c r="N493" s="159">
        <f t="shared" si="144"/>
        <v>0</v>
      </c>
      <c r="O493" s="159">
        <f t="shared" si="144"/>
        <v>0</v>
      </c>
      <c r="P493" s="159">
        <f t="shared" si="144"/>
        <v>7221535.1299999999</v>
      </c>
      <c r="Q493" s="159">
        <f>L493/H493</f>
        <v>4021.5934431889691</v>
      </c>
      <c r="R493" s="11" t="s">
        <v>222</v>
      </c>
      <c r="S493" s="11" t="s">
        <v>222</v>
      </c>
      <c r="T493" s="11" t="s">
        <v>222</v>
      </c>
      <c r="U493" s="243"/>
      <c r="V493" s="139">
        <f>L494-'виды работ '!C490</f>
        <v>0</v>
      </c>
    </row>
    <row r="494" spans="1:22" s="230" customFormat="1" ht="12.75" x14ac:dyDescent="0.2">
      <c r="A494" s="181" t="s">
        <v>98</v>
      </c>
      <c r="B494" s="181"/>
      <c r="C494" s="181"/>
      <c r="D494" s="162" t="s">
        <v>222</v>
      </c>
      <c r="E494" s="162" t="s">
        <v>222</v>
      </c>
      <c r="F494" s="162" t="s">
        <v>222</v>
      </c>
      <c r="G494" s="162" t="s">
        <v>222</v>
      </c>
      <c r="H494" s="158">
        <f t="shared" ref="H494:P494" si="145">H463+H466+H476+H479+H488+H493</f>
        <v>17870.63</v>
      </c>
      <c r="I494" s="158">
        <f t="shared" si="145"/>
        <v>14619.399999999998</v>
      </c>
      <c r="J494" s="158">
        <f t="shared" si="145"/>
        <v>11170.04</v>
      </c>
      <c r="K494" s="38">
        <f t="shared" si="145"/>
        <v>718</v>
      </c>
      <c r="L494" s="158">
        <f t="shared" si="145"/>
        <v>59347524.700000003</v>
      </c>
      <c r="M494" s="158">
        <f t="shared" si="145"/>
        <v>0</v>
      </c>
      <c r="N494" s="158">
        <f t="shared" si="145"/>
        <v>0</v>
      </c>
      <c r="O494" s="158">
        <f t="shared" si="145"/>
        <v>0</v>
      </c>
      <c r="P494" s="158">
        <f t="shared" si="145"/>
        <v>59347524.700000003</v>
      </c>
      <c r="Q494" s="158">
        <f>L494/H494</f>
        <v>3320.9531337171661</v>
      </c>
      <c r="R494" s="17" t="s">
        <v>222</v>
      </c>
      <c r="S494" s="17" t="s">
        <v>222</v>
      </c>
      <c r="T494" s="18" t="s">
        <v>222</v>
      </c>
      <c r="U494" s="158"/>
      <c r="V494" s="139">
        <f>L495-'виды работ '!C491</f>
        <v>0</v>
      </c>
    </row>
    <row r="495" spans="1:22" s="138" customFormat="1" ht="15" customHeight="1" x14ac:dyDescent="0.2">
      <c r="A495" s="175" t="s">
        <v>99</v>
      </c>
      <c r="B495" s="175"/>
      <c r="C495" s="175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V495" s="139">
        <f>L496-'виды работ '!C492</f>
        <v>0</v>
      </c>
    </row>
    <row r="496" spans="1:22" s="138" customFormat="1" ht="14.25" customHeight="1" x14ac:dyDescent="0.2">
      <c r="A496" s="169" t="s">
        <v>100</v>
      </c>
      <c r="B496" s="169"/>
      <c r="C496" s="169"/>
      <c r="D496" s="169"/>
      <c r="E496" s="169"/>
      <c r="F496" s="172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  <c r="R496" s="172"/>
      <c r="S496" s="172"/>
      <c r="T496" s="172"/>
      <c r="V496" s="139">
        <f>L497-'виды работ '!C493</f>
        <v>0</v>
      </c>
    </row>
    <row r="497" spans="1:22" s="138" customFormat="1" ht="14.25" customHeight="1" x14ac:dyDescent="0.2">
      <c r="A497" s="165">
        <f>A492+1</f>
        <v>307</v>
      </c>
      <c r="B497" s="14" t="s">
        <v>101</v>
      </c>
      <c r="C497" s="13">
        <v>1986</v>
      </c>
      <c r="D497" s="159"/>
      <c r="E497" s="152" t="s">
        <v>219</v>
      </c>
      <c r="F497" s="160">
        <v>5</v>
      </c>
      <c r="G497" s="160">
        <v>2</v>
      </c>
      <c r="H497" s="161">
        <v>3243.2</v>
      </c>
      <c r="I497" s="159">
        <v>1365.2</v>
      </c>
      <c r="J497" s="159">
        <v>465.6</v>
      </c>
      <c r="K497" s="160">
        <v>62</v>
      </c>
      <c r="L497" s="161">
        <f>'виды работ '!C493</f>
        <v>522742.88</v>
      </c>
      <c r="M497" s="159">
        <v>0</v>
      </c>
      <c r="N497" s="159">
        <v>0</v>
      </c>
      <c r="O497" s="159">
        <v>0</v>
      </c>
      <c r="P497" s="159">
        <f>L497</f>
        <v>522742.88</v>
      </c>
      <c r="Q497" s="159">
        <f>L497/H497</f>
        <v>161.18120374938334</v>
      </c>
      <c r="R497" s="161">
        <v>14593.7</v>
      </c>
      <c r="S497" s="4" t="s">
        <v>279</v>
      </c>
      <c r="T497" s="152" t="s">
        <v>231</v>
      </c>
      <c r="U497" s="139"/>
      <c r="V497" s="139">
        <f>L498-'виды работ '!C494</f>
        <v>0</v>
      </c>
    </row>
    <row r="498" spans="1:22" s="138" customFormat="1" ht="14.25" customHeight="1" x14ac:dyDescent="0.2">
      <c r="A498" s="171" t="s">
        <v>18</v>
      </c>
      <c r="B498" s="171"/>
      <c r="C498" s="159" t="s">
        <v>222</v>
      </c>
      <c r="D498" s="159" t="s">
        <v>222</v>
      </c>
      <c r="E498" s="159" t="s">
        <v>222</v>
      </c>
      <c r="F498" s="159" t="s">
        <v>222</v>
      </c>
      <c r="G498" s="159" t="s">
        <v>222</v>
      </c>
      <c r="H498" s="161">
        <f>SUM(H497)</f>
        <v>3243.2</v>
      </c>
      <c r="I498" s="161">
        <f t="shared" ref="I498:P498" si="146">SUM(I497)</f>
        <v>1365.2</v>
      </c>
      <c r="J498" s="161">
        <f t="shared" si="146"/>
        <v>465.6</v>
      </c>
      <c r="K498" s="165">
        <f t="shared" si="146"/>
        <v>62</v>
      </c>
      <c r="L498" s="161">
        <f t="shared" si="146"/>
        <v>522742.88</v>
      </c>
      <c r="M498" s="161">
        <f t="shared" si="146"/>
        <v>0</v>
      </c>
      <c r="N498" s="161">
        <f t="shared" si="146"/>
        <v>0</v>
      </c>
      <c r="O498" s="161">
        <f t="shared" si="146"/>
        <v>0</v>
      </c>
      <c r="P498" s="161">
        <f t="shared" si="146"/>
        <v>522742.88</v>
      </c>
      <c r="Q498" s="159">
        <f>L498/H498</f>
        <v>161.18120374938334</v>
      </c>
      <c r="R498" s="11" t="s">
        <v>222</v>
      </c>
      <c r="S498" s="11" t="s">
        <v>222</v>
      </c>
      <c r="T498" s="11" t="s">
        <v>222</v>
      </c>
      <c r="U498" s="139"/>
      <c r="V498" s="139">
        <f>L499-'виды работ '!C495</f>
        <v>0</v>
      </c>
    </row>
    <row r="499" spans="1:22" s="138" customFormat="1" ht="14.25" customHeight="1" x14ac:dyDescent="0.2">
      <c r="A499" s="169" t="s">
        <v>102</v>
      </c>
      <c r="B499" s="169"/>
      <c r="C499" s="169"/>
      <c r="D499" s="169"/>
      <c r="E499" s="169"/>
      <c r="F499" s="172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39"/>
      <c r="V499" s="139">
        <f>L500-'виды работ '!C496</f>
        <v>0</v>
      </c>
    </row>
    <row r="500" spans="1:22" s="138" customFormat="1" ht="14.25" customHeight="1" x14ac:dyDescent="0.2">
      <c r="A500" s="165">
        <f>A497+1</f>
        <v>308</v>
      </c>
      <c r="B500" s="14" t="s">
        <v>456</v>
      </c>
      <c r="C500" s="12">
        <v>1967</v>
      </c>
      <c r="D500" s="165"/>
      <c r="E500" s="152" t="s">
        <v>219</v>
      </c>
      <c r="F500" s="165">
        <v>4</v>
      </c>
      <c r="G500" s="165">
        <v>3</v>
      </c>
      <c r="H500" s="161">
        <v>3540.07</v>
      </c>
      <c r="I500" s="161">
        <v>2013.63</v>
      </c>
      <c r="J500" s="161">
        <v>1941.72</v>
      </c>
      <c r="K500" s="165">
        <v>87</v>
      </c>
      <c r="L500" s="161">
        <f>'виды работ '!C496</f>
        <v>1683577.62</v>
      </c>
      <c r="M500" s="159">
        <v>0</v>
      </c>
      <c r="N500" s="159">
        <v>0</v>
      </c>
      <c r="O500" s="159">
        <v>0</v>
      </c>
      <c r="P500" s="159">
        <f>L500</f>
        <v>1683577.62</v>
      </c>
      <c r="Q500" s="159">
        <f>L500/H500</f>
        <v>475.57749423034011</v>
      </c>
      <c r="R500" s="161">
        <v>14593.7</v>
      </c>
      <c r="S500" s="4" t="s">
        <v>279</v>
      </c>
      <c r="T500" s="152" t="s">
        <v>231</v>
      </c>
      <c r="U500" s="139"/>
      <c r="V500" s="139">
        <f>L501-'виды работ '!C497</f>
        <v>0</v>
      </c>
    </row>
    <row r="501" spans="1:22" s="138" customFormat="1" ht="14.25" customHeight="1" x14ac:dyDescent="0.2">
      <c r="A501" s="165">
        <f>A500+1</f>
        <v>309</v>
      </c>
      <c r="B501" s="14" t="s">
        <v>457</v>
      </c>
      <c r="C501" s="12">
        <v>1967</v>
      </c>
      <c r="D501" s="165"/>
      <c r="E501" s="152" t="s">
        <v>219</v>
      </c>
      <c r="F501" s="165">
        <v>4</v>
      </c>
      <c r="G501" s="165">
        <v>3</v>
      </c>
      <c r="H501" s="161">
        <v>3372.35</v>
      </c>
      <c r="I501" s="161">
        <v>1991.11</v>
      </c>
      <c r="J501" s="161">
        <v>1954.12</v>
      </c>
      <c r="K501" s="165">
        <v>103</v>
      </c>
      <c r="L501" s="161">
        <f>'виды работ '!C497</f>
        <v>1683577.62</v>
      </c>
      <c r="M501" s="159">
        <v>0</v>
      </c>
      <c r="N501" s="159">
        <v>0</v>
      </c>
      <c r="O501" s="159">
        <v>0</v>
      </c>
      <c r="P501" s="159">
        <f>L501</f>
        <v>1683577.62</v>
      </c>
      <c r="Q501" s="159">
        <f>L501/H501</f>
        <v>499.22980117722068</v>
      </c>
      <c r="R501" s="161">
        <v>14593.7</v>
      </c>
      <c r="S501" s="4" t="s">
        <v>279</v>
      </c>
      <c r="T501" s="152" t="s">
        <v>231</v>
      </c>
      <c r="U501" s="139"/>
      <c r="V501" s="139">
        <f>L502-'виды работ '!C498</f>
        <v>0</v>
      </c>
    </row>
    <row r="502" spans="1:22" s="138" customFormat="1" ht="14.25" customHeight="1" x14ac:dyDescent="0.2">
      <c r="A502" s="165">
        <f>A501+1</f>
        <v>310</v>
      </c>
      <c r="B502" s="14" t="s">
        <v>458</v>
      </c>
      <c r="C502" s="12">
        <v>1969</v>
      </c>
      <c r="D502" s="165"/>
      <c r="E502" s="152" t="s">
        <v>219</v>
      </c>
      <c r="F502" s="165">
        <v>2</v>
      </c>
      <c r="G502" s="165">
        <v>2</v>
      </c>
      <c r="H502" s="161">
        <v>1819.02</v>
      </c>
      <c r="I502" s="161">
        <v>732.2</v>
      </c>
      <c r="J502" s="161">
        <v>687.8</v>
      </c>
      <c r="K502" s="165">
        <v>20</v>
      </c>
      <c r="L502" s="161">
        <f>'виды работ '!C498</f>
        <v>473845.3</v>
      </c>
      <c r="M502" s="159">
        <v>0</v>
      </c>
      <c r="N502" s="159">
        <v>0</v>
      </c>
      <c r="O502" s="159">
        <v>0</v>
      </c>
      <c r="P502" s="159">
        <f>L502</f>
        <v>473845.3</v>
      </c>
      <c r="Q502" s="159">
        <f>L502/H502</f>
        <v>260.49482688480612</v>
      </c>
      <c r="R502" s="161">
        <v>14593.7</v>
      </c>
      <c r="S502" s="4" t="s">
        <v>279</v>
      </c>
      <c r="T502" s="152" t="s">
        <v>231</v>
      </c>
      <c r="U502" s="139"/>
      <c r="V502" s="139">
        <f>L503-'виды работ '!C499</f>
        <v>0</v>
      </c>
    </row>
    <row r="503" spans="1:22" s="138" customFormat="1" ht="14.25" customHeight="1" x14ac:dyDescent="0.2">
      <c r="A503" s="165">
        <f>A502+1</f>
        <v>311</v>
      </c>
      <c r="B503" s="14" t="s">
        <v>459</v>
      </c>
      <c r="C503" s="12">
        <v>1971</v>
      </c>
      <c r="D503" s="165"/>
      <c r="E503" s="152" t="s">
        <v>219</v>
      </c>
      <c r="F503" s="165">
        <v>2</v>
      </c>
      <c r="G503" s="165">
        <v>2</v>
      </c>
      <c r="H503" s="161">
        <v>1816.86</v>
      </c>
      <c r="I503" s="161">
        <v>730.86</v>
      </c>
      <c r="J503" s="161">
        <v>730.86</v>
      </c>
      <c r="K503" s="165">
        <v>39</v>
      </c>
      <c r="L503" s="161">
        <f>'виды работ '!C499</f>
        <v>473845.3</v>
      </c>
      <c r="M503" s="159">
        <v>0</v>
      </c>
      <c r="N503" s="159">
        <v>0</v>
      </c>
      <c r="O503" s="159">
        <v>0</v>
      </c>
      <c r="P503" s="159">
        <f>L503</f>
        <v>473845.3</v>
      </c>
      <c r="Q503" s="159">
        <f>L503/H503</f>
        <v>260.80451988595712</v>
      </c>
      <c r="R503" s="161">
        <v>14593.7</v>
      </c>
      <c r="S503" s="4" t="s">
        <v>279</v>
      </c>
      <c r="T503" s="152" t="s">
        <v>231</v>
      </c>
      <c r="U503" s="139"/>
      <c r="V503" s="139">
        <f>L504-'виды работ '!C500</f>
        <v>0</v>
      </c>
    </row>
    <row r="504" spans="1:22" s="138" customFormat="1" ht="14.25" customHeight="1" x14ac:dyDescent="0.2">
      <c r="A504" s="171" t="s">
        <v>18</v>
      </c>
      <c r="B504" s="171"/>
      <c r="C504" s="159" t="s">
        <v>222</v>
      </c>
      <c r="D504" s="159" t="s">
        <v>222</v>
      </c>
      <c r="E504" s="159" t="s">
        <v>222</v>
      </c>
      <c r="F504" s="159" t="s">
        <v>222</v>
      </c>
      <c r="G504" s="159" t="s">
        <v>222</v>
      </c>
      <c r="H504" s="161">
        <f>SUM(H500:H503)</f>
        <v>10548.300000000001</v>
      </c>
      <c r="I504" s="161">
        <f t="shared" ref="I504:P504" si="147">SUM(I500:I503)</f>
        <v>5467.7999999999993</v>
      </c>
      <c r="J504" s="161">
        <f t="shared" si="147"/>
        <v>5314.5</v>
      </c>
      <c r="K504" s="165">
        <f t="shared" si="147"/>
        <v>249</v>
      </c>
      <c r="L504" s="161">
        <f>SUM(L500:L503)</f>
        <v>4314845.84</v>
      </c>
      <c r="M504" s="161">
        <f t="shared" si="147"/>
        <v>0</v>
      </c>
      <c r="N504" s="161">
        <f t="shared" si="147"/>
        <v>0</v>
      </c>
      <c r="O504" s="161">
        <f t="shared" si="147"/>
        <v>0</v>
      </c>
      <c r="P504" s="161">
        <f t="shared" si="147"/>
        <v>4314845.84</v>
      </c>
      <c r="Q504" s="161">
        <f>SUM(Q500:Q503)</f>
        <v>1496.1066421783239</v>
      </c>
      <c r="R504" s="11" t="s">
        <v>222</v>
      </c>
      <c r="S504" s="11" t="s">
        <v>222</v>
      </c>
      <c r="T504" s="11" t="s">
        <v>222</v>
      </c>
      <c r="U504" s="139"/>
      <c r="V504" s="139">
        <f>L505-'виды работ '!C501</f>
        <v>0</v>
      </c>
    </row>
    <row r="505" spans="1:22" s="138" customFormat="1" ht="14.25" customHeight="1" x14ac:dyDescent="0.2">
      <c r="A505" s="169" t="s">
        <v>103</v>
      </c>
      <c r="B505" s="169"/>
      <c r="C505" s="169"/>
      <c r="D505" s="169"/>
      <c r="E505" s="169"/>
      <c r="F505" s="172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2"/>
      <c r="R505" s="172"/>
      <c r="S505" s="172"/>
      <c r="T505" s="172"/>
      <c r="U505" s="139"/>
      <c r="V505" s="139">
        <f>L506-'виды работ '!C502</f>
        <v>0</v>
      </c>
    </row>
    <row r="506" spans="1:22" s="138" customFormat="1" ht="14.25" customHeight="1" x14ac:dyDescent="0.2">
      <c r="A506" s="165">
        <f>A503+1</f>
        <v>312</v>
      </c>
      <c r="B506" s="5" t="s">
        <v>460</v>
      </c>
      <c r="C506" s="153">
        <v>1947</v>
      </c>
      <c r="D506" s="153"/>
      <c r="E506" s="152" t="s">
        <v>219</v>
      </c>
      <c r="F506" s="153">
        <v>2</v>
      </c>
      <c r="G506" s="153">
        <v>4</v>
      </c>
      <c r="H506" s="161">
        <v>1148.1099999999999</v>
      </c>
      <c r="I506" s="161">
        <v>1000.05</v>
      </c>
      <c r="J506" s="161">
        <v>946.15</v>
      </c>
      <c r="K506" s="153">
        <v>72</v>
      </c>
      <c r="L506" s="159">
        <f>'виды работ '!C502</f>
        <v>5719096.6299999999</v>
      </c>
      <c r="M506" s="159">
        <v>0</v>
      </c>
      <c r="N506" s="159">
        <v>0</v>
      </c>
      <c r="O506" s="159">
        <v>0</v>
      </c>
      <c r="P506" s="159">
        <f t="shared" ref="P506:P518" si="148">L506</f>
        <v>5719096.6299999999</v>
      </c>
      <c r="Q506" s="159">
        <f t="shared" ref="Q506:Q518" si="149">L506/H506</f>
        <v>4981.3141859229518</v>
      </c>
      <c r="R506" s="161">
        <v>14593.7</v>
      </c>
      <c r="S506" s="4" t="s">
        <v>279</v>
      </c>
      <c r="T506" s="152" t="s">
        <v>231</v>
      </c>
      <c r="U506" s="139"/>
      <c r="V506" s="139">
        <f>L507-'виды работ '!C503</f>
        <v>0</v>
      </c>
    </row>
    <row r="507" spans="1:22" s="138" customFormat="1" ht="14.25" customHeight="1" x14ac:dyDescent="0.2">
      <c r="A507" s="165">
        <f>A506+1</f>
        <v>313</v>
      </c>
      <c r="B507" s="5" t="s">
        <v>461</v>
      </c>
      <c r="C507" s="153">
        <v>1948</v>
      </c>
      <c r="D507" s="153"/>
      <c r="E507" s="152" t="s">
        <v>219</v>
      </c>
      <c r="F507" s="153">
        <v>2</v>
      </c>
      <c r="G507" s="153">
        <v>4</v>
      </c>
      <c r="H507" s="161">
        <v>1225.9100000000001</v>
      </c>
      <c r="I507" s="161">
        <v>1093.9100000000001</v>
      </c>
      <c r="J507" s="161">
        <v>951.01</v>
      </c>
      <c r="K507" s="153">
        <v>54</v>
      </c>
      <c r="L507" s="159">
        <f>'виды работ '!C503</f>
        <v>9022680.6300000008</v>
      </c>
      <c r="M507" s="159">
        <v>0</v>
      </c>
      <c r="N507" s="159">
        <v>0</v>
      </c>
      <c r="O507" s="159">
        <v>0</v>
      </c>
      <c r="P507" s="159">
        <f t="shared" si="148"/>
        <v>9022680.6300000008</v>
      </c>
      <c r="Q507" s="159">
        <f t="shared" si="149"/>
        <v>7359.9861572219825</v>
      </c>
      <c r="R507" s="161">
        <v>14593.7</v>
      </c>
      <c r="S507" s="4" t="s">
        <v>279</v>
      </c>
      <c r="T507" s="152" t="s">
        <v>231</v>
      </c>
      <c r="U507" s="139"/>
      <c r="V507" s="139">
        <f>L508-'виды работ '!C504</f>
        <v>0</v>
      </c>
    </row>
    <row r="508" spans="1:22" s="138" customFormat="1" ht="14.25" customHeight="1" x14ac:dyDescent="0.2">
      <c r="A508" s="165">
        <f t="shared" ref="A508:A531" si="150">A507+1</f>
        <v>314</v>
      </c>
      <c r="B508" s="5" t="s">
        <v>469</v>
      </c>
      <c r="C508" s="152">
        <v>1990</v>
      </c>
      <c r="D508" s="153"/>
      <c r="E508" s="152" t="s">
        <v>223</v>
      </c>
      <c r="F508" s="153">
        <v>5</v>
      </c>
      <c r="G508" s="153">
        <v>5</v>
      </c>
      <c r="H508" s="153">
        <v>6630.9</v>
      </c>
      <c r="I508" s="7">
        <v>6058.16</v>
      </c>
      <c r="J508" s="153">
        <v>3314.2</v>
      </c>
      <c r="K508" s="152">
        <v>248</v>
      </c>
      <c r="L508" s="159">
        <f>'виды работ '!C504</f>
        <v>1534504.4</v>
      </c>
      <c r="M508" s="159">
        <v>0</v>
      </c>
      <c r="N508" s="159">
        <v>0</v>
      </c>
      <c r="O508" s="159">
        <v>0</v>
      </c>
      <c r="P508" s="159">
        <f t="shared" si="148"/>
        <v>1534504.4</v>
      </c>
      <c r="Q508" s="159">
        <f t="shared" si="149"/>
        <v>231.41721334962071</v>
      </c>
      <c r="R508" s="161">
        <v>14593.7</v>
      </c>
      <c r="S508" s="4" t="s">
        <v>279</v>
      </c>
      <c r="T508" s="152" t="s">
        <v>231</v>
      </c>
      <c r="U508" s="139"/>
      <c r="V508" s="139">
        <f>L509-'виды работ '!C505</f>
        <v>0</v>
      </c>
    </row>
    <row r="509" spans="1:22" s="138" customFormat="1" ht="14.25" customHeight="1" x14ac:dyDescent="0.2">
      <c r="A509" s="165">
        <f t="shared" si="150"/>
        <v>315</v>
      </c>
      <c r="B509" s="5" t="s">
        <v>470</v>
      </c>
      <c r="C509" s="153">
        <v>1974</v>
      </c>
      <c r="D509" s="153"/>
      <c r="E509" s="152" t="s">
        <v>219</v>
      </c>
      <c r="F509" s="153">
        <v>2</v>
      </c>
      <c r="G509" s="153">
        <v>2</v>
      </c>
      <c r="H509" s="153">
        <v>1021.5</v>
      </c>
      <c r="I509" s="153">
        <v>798.22</v>
      </c>
      <c r="J509" s="15">
        <v>724.22</v>
      </c>
      <c r="K509" s="153">
        <v>20</v>
      </c>
      <c r="L509" s="159">
        <f>'виды работ '!C505</f>
        <v>1656624</v>
      </c>
      <c r="M509" s="159">
        <v>0</v>
      </c>
      <c r="N509" s="159">
        <v>0</v>
      </c>
      <c r="O509" s="159">
        <v>0</v>
      </c>
      <c r="P509" s="159">
        <f t="shared" si="148"/>
        <v>1656624</v>
      </c>
      <c r="Q509" s="159">
        <f t="shared" si="149"/>
        <v>1621.75624082232</v>
      </c>
      <c r="R509" s="161">
        <v>14593.7</v>
      </c>
      <c r="S509" s="4" t="s">
        <v>279</v>
      </c>
      <c r="T509" s="152" t="s">
        <v>231</v>
      </c>
      <c r="U509" s="139"/>
      <c r="V509" s="139">
        <f>L510-'виды работ '!C506</f>
        <v>0</v>
      </c>
    </row>
    <row r="510" spans="1:22" s="138" customFormat="1" ht="14.25" customHeight="1" x14ac:dyDescent="0.2">
      <c r="A510" s="165">
        <f t="shared" si="150"/>
        <v>316</v>
      </c>
      <c r="B510" s="5" t="s">
        <v>462</v>
      </c>
      <c r="C510" s="152">
        <v>1947</v>
      </c>
      <c r="D510" s="153"/>
      <c r="E510" s="152" t="s">
        <v>219</v>
      </c>
      <c r="F510" s="153">
        <v>2</v>
      </c>
      <c r="G510" s="153">
        <v>4</v>
      </c>
      <c r="H510" s="161">
        <v>1228.9000000000001</v>
      </c>
      <c r="I510" s="161">
        <v>1089.9000000000001</v>
      </c>
      <c r="J510" s="161">
        <v>886.43</v>
      </c>
      <c r="K510" s="152">
        <v>39</v>
      </c>
      <c r="L510" s="159">
        <f>'виды работ '!C506</f>
        <v>8602715.6300000008</v>
      </c>
      <c r="M510" s="159">
        <v>0</v>
      </c>
      <c r="N510" s="159">
        <v>0</v>
      </c>
      <c r="O510" s="159">
        <v>0</v>
      </c>
      <c r="P510" s="159">
        <f t="shared" si="148"/>
        <v>8602715.6300000008</v>
      </c>
      <c r="Q510" s="159">
        <f t="shared" si="149"/>
        <v>7000.3382130360487</v>
      </c>
      <c r="R510" s="161">
        <v>14593.7</v>
      </c>
      <c r="S510" s="4" t="s">
        <v>279</v>
      </c>
      <c r="T510" s="152" t="s">
        <v>231</v>
      </c>
      <c r="U510" s="139"/>
      <c r="V510" s="139">
        <f>L511-'виды работ '!C507</f>
        <v>0</v>
      </c>
    </row>
    <row r="511" spans="1:22" s="138" customFormat="1" ht="14.25" customHeight="1" x14ac:dyDescent="0.2">
      <c r="A511" s="165">
        <f t="shared" si="150"/>
        <v>317</v>
      </c>
      <c r="B511" s="5" t="s">
        <v>463</v>
      </c>
      <c r="C511" s="152">
        <v>1956</v>
      </c>
      <c r="D511" s="153"/>
      <c r="E511" s="152" t="s">
        <v>219</v>
      </c>
      <c r="F511" s="153">
        <v>2</v>
      </c>
      <c r="G511" s="153">
        <v>2</v>
      </c>
      <c r="H511" s="153">
        <v>828.3</v>
      </c>
      <c r="I511" s="153">
        <v>776.3</v>
      </c>
      <c r="J511" s="153">
        <v>633.29999999999995</v>
      </c>
      <c r="K511" s="152">
        <v>38</v>
      </c>
      <c r="L511" s="159">
        <f>'виды работ '!C507</f>
        <v>4449694.75</v>
      </c>
      <c r="M511" s="159">
        <v>0</v>
      </c>
      <c r="N511" s="159">
        <v>0</v>
      </c>
      <c r="O511" s="159">
        <v>0</v>
      </c>
      <c r="P511" s="159">
        <f t="shared" si="148"/>
        <v>4449694.75</v>
      </c>
      <c r="Q511" s="159">
        <f t="shared" si="149"/>
        <v>5372.0810696607514</v>
      </c>
      <c r="R511" s="161">
        <v>14593.7</v>
      </c>
      <c r="S511" s="4" t="s">
        <v>279</v>
      </c>
      <c r="T511" s="152" t="s">
        <v>231</v>
      </c>
      <c r="U511" s="139"/>
      <c r="V511" s="139">
        <f>L512-'виды работ '!C508</f>
        <v>0</v>
      </c>
    </row>
    <row r="512" spans="1:22" s="138" customFormat="1" ht="14.25" customHeight="1" x14ac:dyDescent="0.2">
      <c r="A512" s="165">
        <f t="shared" si="150"/>
        <v>318</v>
      </c>
      <c r="B512" s="5" t="s">
        <v>464</v>
      </c>
      <c r="C512" s="152">
        <v>1956</v>
      </c>
      <c r="D512" s="153"/>
      <c r="E512" s="152" t="s">
        <v>219</v>
      </c>
      <c r="F512" s="153">
        <v>2</v>
      </c>
      <c r="G512" s="153">
        <v>2</v>
      </c>
      <c r="H512" s="153">
        <v>772.94</v>
      </c>
      <c r="I512" s="9">
        <v>705.64</v>
      </c>
      <c r="J512" s="153">
        <v>672.44</v>
      </c>
      <c r="K512" s="152">
        <v>42</v>
      </c>
      <c r="L512" s="159">
        <f>'виды работ '!C508</f>
        <v>7745969.75</v>
      </c>
      <c r="M512" s="159">
        <v>0</v>
      </c>
      <c r="N512" s="159">
        <v>0</v>
      </c>
      <c r="O512" s="159">
        <v>0</v>
      </c>
      <c r="P512" s="159">
        <f t="shared" si="148"/>
        <v>7745969.75</v>
      </c>
      <c r="Q512" s="159">
        <f t="shared" si="149"/>
        <v>10021.437304318575</v>
      </c>
      <c r="R512" s="161">
        <v>14593.7</v>
      </c>
      <c r="S512" s="4" t="s">
        <v>279</v>
      </c>
      <c r="T512" s="152" t="s">
        <v>231</v>
      </c>
      <c r="U512" s="139"/>
      <c r="V512" s="139">
        <f>L513-'виды работ '!C509</f>
        <v>0</v>
      </c>
    </row>
    <row r="513" spans="1:22" s="138" customFormat="1" ht="14.25" customHeight="1" x14ac:dyDescent="0.2">
      <c r="A513" s="165">
        <f t="shared" si="150"/>
        <v>319</v>
      </c>
      <c r="B513" s="5" t="s">
        <v>465</v>
      </c>
      <c r="C513" s="152">
        <v>1978</v>
      </c>
      <c r="D513" s="153"/>
      <c r="E513" s="152" t="s">
        <v>219</v>
      </c>
      <c r="F513" s="153">
        <v>9</v>
      </c>
      <c r="G513" s="153">
        <v>1</v>
      </c>
      <c r="H513" s="165">
        <v>4579.6000000000004</v>
      </c>
      <c r="I513" s="165">
        <v>3843.6</v>
      </c>
      <c r="J513" s="165">
        <v>2586.85</v>
      </c>
      <c r="K513" s="152">
        <v>117</v>
      </c>
      <c r="L513" s="159">
        <f>'виды работ '!C509</f>
        <v>4703685.6500000004</v>
      </c>
      <c r="M513" s="159">
        <v>0</v>
      </c>
      <c r="N513" s="159">
        <v>0</v>
      </c>
      <c r="O513" s="159">
        <v>0</v>
      </c>
      <c r="P513" s="159">
        <f t="shared" si="148"/>
        <v>4703685.6500000004</v>
      </c>
      <c r="Q513" s="159">
        <f t="shared" si="149"/>
        <v>1027.0953030832386</v>
      </c>
      <c r="R513" s="161">
        <v>14593.7</v>
      </c>
      <c r="S513" s="4" t="s">
        <v>279</v>
      </c>
      <c r="T513" s="152" t="s">
        <v>231</v>
      </c>
      <c r="U513" s="139"/>
      <c r="V513" s="139">
        <f>L514-'виды работ '!C510</f>
        <v>0</v>
      </c>
    </row>
    <row r="514" spans="1:22" s="138" customFormat="1" ht="14.25" customHeight="1" x14ac:dyDescent="0.2">
      <c r="A514" s="165">
        <f t="shared" si="150"/>
        <v>320</v>
      </c>
      <c r="B514" s="5" t="s">
        <v>466</v>
      </c>
      <c r="C514" s="152">
        <v>1952</v>
      </c>
      <c r="D514" s="153"/>
      <c r="E514" s="152" t="s">
        <v>219</v>
      </c>
      <c r="F514" s="153">
        <v>2</v>
      </c>
      <c r="G514" s="153">
        <v>1</v>
      </c>
      <c r="H514" s="153">
        <v>521.29999999999995</v>
      </c>
      <c r="I514" s="153">
        <v>494.3</v>
      </c>
      <c r="J514" s="153">
        <v>494.3</v>
      </c>
      <c r="K514" s="152">
        <v>9</v>
      </c>
      <c r="L514" s="159">
        <f>'виды работ '!C510</f>
        <v>4896697.59</v>
      </c>
      <c r="M514" s="159">
        <v>0</v>
      </c>
      <c r="N514" s="159">
        <v>0</v>
      </c>
      <c r="O514" s="159">
        <v>0</v>
      </c>
      <c r="P514" s="159">
        <f t="shared" si="148"/>
        <v>4896697.59</v>
      </c>
      <c r="Q514" s="159">
        <f t="shared" si="149"/>
        <v>9393.2430270477653</v>
      </c>
      <c r="R514" s="161">
        <v>14593.7</v>
      </c>
      <c r="S514" s="4" t="s">
        <v>279</v>
      </c>
      <c r="T514" s="152" t="s">
        <v>231</v>
      </c>
      <c r="U514" s="139"/>
      <c r="V514" s="139">
        <f>L515-'виды работ '!C511</f>
        <v>0</v>
      </c>
    </row>
    <row r="515" spans="1:22" s="138" customFormat="1" ht="14.25" customHeight="1" x14ac:dyDescent="0.2">
      <c r="A515" s="165">
        <f t="shared" si="150"/>
        <v>321</v>
      </c>
      <c r="B515" s="5" t="s">
        <v>536</v>
      </c>
      <c r="C515" s="73">
        <v>1954</v>
      </c>
      <c r="D515" s="74"/>
      <c r="E515" s="73" t="s">
        <v>219</v>
      </c>
      <c r="F515" s="75">
        <v>2</v>
      </c>
      <c r="G515" s="75">
        <v>2</v>
      </c>
      <c r="H515" s="76">
        <v>867.9</v>
      </c>
      <c r="I515" s="75">
        <v>509.33</v>
      </c>
      <c r="J515" s="76">
        <v>266</v>
      </c>
      <c r="K515" s="75">
        <v>14</v>
      </c>
      <c r="L515" s="159">
        <f>'виды работ '!C511</f>
        <v>5793568</v>
      </c>
      <c r="M515" s="159">
        <v>0</v>
      </c>
      <c r="N515" s="159">
        <v>0</v>
      </c>
      <c r="O515" s="159">
        <v>0</v>
      </c>
      <c r="P515" s="159">
        <f t="shared" si="148"/>
        <v>5793568</v>
      </c>
      <c r="Q515" s="159">
        <f t="shared" si="149"/>
        <v>6675.3865652724971</v>
      </c>
      <c r="R515" s="161">
        <v>14593.7</v>
      </c>
      <c r="S515" s="4" t="s">
        <v>279</v>
      </c>
      <c r="T515" s="152" t="s">
        <v>231</v>
      </c>
      <c r="U515" s="139"/>
      <c r="V515" s="139">
        <f>L516-'виды работ '!C512</f>
        <v>0</v>
      </c>
    </row>
    <row r="516" spans="1:22" s="138" customFormat="1" ht="14.25" customHeight="1" x14ac:dyDescent="0.2">
      <c r="A516" s="165">
        <f t="shared" si="150"/>
        <v>322</v>
      </c>
      <c r="B516" s="5" t="s">
        <v>537</v>
      </c>
      <c r="C516" s="73">
        <v>1954</v>
      </c>
      <c r="D516" s="74"/>
      <c r="E516" s="73" t="s">
        <v>219</v>
      </c>
      <c r="F516" s="75">
        <v>2</v>
      </c>
      <c r="G516" s="75">
        <v>2</v>
      </c>
      <c r="H516" s="75">
        <v>838.19</v>
      </c>
      <c r="I516" s="75">
        <v>546.98</v>
      </c>
      <c r="J516" s="76">
        <v>386.6</v>
      </c>
      <c r="K516" s="75">
        <v>17</v>
      </c>
      <c r="L516" s="159">
        <f>'виды работ '!C512</f>
        <v>5648684</v>
      </c>
      <c r="M516" s="159">
        <v>0</v>
      </c>
      <c r="N516" s="159">
        <v>0</v>
      </c>
      <c r="O516" s="159">
        <v>0</v>
      </c>
      <c r="P516" s="159">
        <f t="shared" si="148"/>
        <v>5648684</v>
      </c>
      <c r="Q516" s="159">
        <f t="shared" si="149"/>
        <v>6739.1450625753105</v>
      </c>
      <c r="R516" s="161">
        <v>14593.7</v>
      </c>
      <c r="S516" s="4" t="s">
        <v>279</v>
      </c>
      <c r="T516" s="152" t="s">
        <v>231</v>
      </c>
      <c r="U516" s="139"/>
      <c r="V516" s="139">
        <f>L517-'виды работ '!C513</f>
        <v>0</v>
      </c>
    </row>
    <row r="517" spans="1:22" s="138" customFormat="1" ht="14.25" customHeight="1" x14ac:dyDescent="0.2">
      <c r="A517" s="165">
        <f t="shared" si="150"/>
        <v>323</v>
      </c>
      <c r="B517" s="5" t="s">
        <v>538</v>
      </c>
      <c r="C517" s="73">
        <v>1948</v>
      </c>
      <c r="D517" s="74"/>
      <c r="E517" s="73" t="s">
        <v>219</v>
      </c>
      <c r="F517" s="75">
        <v>2</v>
      </c>
      <c r="G517" s="75">
        <v>2</v>
      </c>
      <c r="H517" s="76">
        <v>602</v>
      </c>
      <c r="I517" s="76">
        <v>602</v>
      </c>
      <c r="J517" s="76">
        <v>538.4</v>
      </c>
      <c r="K517" s="75">
        <v>31</v>
      </c>
      <c r="L517" s="159">
        <f>'виды работ '!C513</f>
        <v>1236959</v>
      </c>
      <c r="M517" s="159">
        <v>0</v>
      </c>
      <c r="N517" s="159">
        <v>0</v>
      </c>
      <c r="O517" s="159">
        <v>0</v>
      </c>
      <c r="P517" s="159">
        <f t="shared" si="148"/>
        <v>1236959</v>
      </c>
      <c r="Q517" s="159">
        <f t="shared" si="149"/>
        <v>2054.7491694352161</v>
      </c>
      <c r="R517" s="161">
        <v>14593.7</v>
      </c>
      <c r="S517" s="4" t="s">
        <v>279</v>
      </c>
      <c r="T517" s="152" t="s">
        <v>231</v>
      </c>
      <c r="U517" s="139"/>
      <c r="V517" s="139">
        <f>L518-'виды работ '!C514</f>
        <v>0</v>
      </c>
    </row>
    <row r="518" spans="1:22" s="138" customFormat="1" ht="14.25" customHeight="1" x14ac:dyDescent="0.2">
      <c r="A518" s="165">
        <f t="shared" si="150"/>
        <v>324</v>
      </c>
      <c r="B518" s="5" t="s">
        <v>539</v>
      </c>
      <c r="C518" s="73">
        <v>1948</v>
      </c>
      <c r="D518" s="74"/>
      <c r="E518" s="73" t="s">
        <v>219</v>
      </c>
      <c r="F518" s="75">
        <v>2</v>
      </c>
      <c r="G518" s="75">
        <v>2</v>
      </c>
      <c r="H518" s="75">
        <v>613.25</v>
      </c>
      <c r="I518" s="75">
        <v>535.4</v>
      </c>
      <c r="J518" s="75">
        <v>378.05</v>
      </c>
      <c r="K518" s="75">
        <v>12</v>
      </c>
      <c r="L518" s="159">
        <f>'виды работ '!C514</f>
        <v>3746980</v>
      </c>
      <c r="M518" s="159">
        <v>0</v>
      </c>
      <c r="N518" s="159">
        <v>0</v>
      </c>
      <c r="O518" s="159">
        <v>0</v>
      </c>
      <c r="P518" s="159">
        <f t="shared" si="148"/>
        <v>3746980</v>
      </c>
      <c r="Q518" s="159">
        <f t="shared" si="149"/>
        <v>6110.0366897676313</v>
      </c>
      <c r="R518" s="161">
        <v>14593.7</v>
      </c>
      <c r="S518" s="4" t="s">
        <v>279</v>
      </c>
      <c r="T518" s="152" t="s">
        <v>231</v>
      </c>
      <c r="U518" s="139"/>
      <c r="V518" s="139">
        <f>L519-'виды работ '!C515</f>
        <v>0</v>
      </c>
    </row>
    <row r="519" spans="1:22" s="138" customFormat="1" ht="14.25" customHeight="1" x14ac:dyDescent="0.2">
      <c r="A519" s="165">
        <f t="shared" si="150"/>
        <v>325</v>
      </c>
      <c r="B519" s="5" t="s">
        <v>525</v>
      </c>
      <c r="C519" s="152">
        <v>1951</v>
      </c>
      <c r="D519" s="74"/>
      <c r="E519" s="73" t="s">
        <v>219</v>
      </c>
      <c r="F519" s="153">
        <v>2</v>
      </c>
      <c r="G519" s="153">
        <v>2</v>
      </c>
      <c r="H519" s="15">
        <v>598.29999999999995</v>
      </c>
      <c r="I519" s="153">
        <v>537.29999999999995</v>
      </c>
      <c r="J519" s="77">
        <v>537.29999999999995</v>
      </c>
      <c r="K519" s="152">
        <v>16</v>
      </c>
      <c r="L519" s="159">
        <f>'виды работ '!C515</f>
        <v>1081590</v>
      </c>
      <c r="M519" s="159">
        <v>0</v>
      </c>
      <c r="N519" s="159">
        <v>0</v>
      </c>
      <c r="O519" s="159">
        <v>0</v>
      </c>
      <c r="P519" s="159">
        <f t="shared" ref="P519:P529" si="151">L519</f>
        <v>1081590</v>
      </c>
      <c r="Q519" s="159">
        <f t="shared" ref="Q519:Q532" si="152">L519/H519</f>
        <v>1807.7720207253888</v>
      </c>
      <c r="R519" s="161">
        <v>14593.7</v>
      </c>
      <c r="S519" s="4" t="s">
        <v>279</v>
      </c>
      <c r="T519" s="152" t="s">
        <v>231</v>
      </c>
      <c r="U519" s="139"/>
      <c r="V519" s="139">
        <f>L520-'виды работ '!C516</f>
        <v>0</v>
      </c>
    </row>
    <row r="520" spans="1:22" s="138" customFormat="1" ht="14.25" customHeight="1" x14ac:dyDescent="0.2">
      <c r="A520" s="165">
        <f t="shared" si="150"/>
        <v>326</v>
      </c>
      <c r="B520" s="5" t="s">
        <v>526</v>
      </c>
      <c r="C520" s="152">
        <v>1951</v>
      </c>
      <c r="D520" s="74"/>
      <c r="E520" s="73" t="s">
        <v>219</v>
      </c>
      <c r="F520" s="153">
        <v>2</v>
      </c>
      <c r="G520" s="153">
        <v>2</v>
      </c>
      <c r="H520" s="15">
        <v>581.20000000000005</v>
      </c>
      <c r="I520" s="153">
        <v>519.20000000000005</v>
      </c>
      <c r="J520" s="77">
        <v>519.20000000000005</v>
      </c>
      <c r="K520" s="152">
        <v>29</v>
      </c>
      <c r="L520" s="159">
        <f>'виды работ '!C516</f>
        <v>3898848</v>
      </c>
      <c r="M520" s="159">
        <v>0</v>
      </c>
      <c r="N520" s="159">
        <v>0</v>
      </c>
      <c r="O520" s="159">
        <v>0</v>
      </c>
      <c r="P520" s="159">
        <f t="shared" si="151"/>
        <v>3898848</v>
      </c>
      <c r="Q520" s="159">
        <f t="shared" si="152"/>
        <v>6708.2725395732959</v>
      </c>
      <c r="R520" s="161">
        <v>14593.7</v>
      </c>
      <c r="S520" s="4" t="s">
        <v>279</v>
      </c>
      <c r="T520" s="152" t="s">
        <v>231</v>
      </c>
      <c r="U520" s="139"/>
      <c r="V520" s="139">
        <f>L521-'виды работ '!C517</f>
        <v>0</v>
      </c>
    </row>
    <row r="521" spans="1:22" s="138" customFormat="1" ht="14.25" customHeight="1" x14ac:dyDescent="0.2">
      <c r="A521" s="165">
        <f t="shared" si="150"/>
        <v>327</v>
      </c>
      <c r="B521" s="5" t="s">
        <v>527</v>
      </c>
      <c r="C521" s="152">
        <v>1950</v>
      </c>
      <c r="D521" s="74"/>
      <c r="E521" s="73" t="s">
        <v>219</v>
      </c>
      <c r="F521" s="153">
        <v>2</v>
      </c>
      <c r="G521" s="153">
        <v>1</v>
      </c>
      <c r="H521" s="153">
        <v>660.71</v>
      </c>
      <c r="I521" s="153">
        <v>295.11</v>
      </c>
      <c r="J521" s="77">
        <v>280.60000000000002</v>
      </c>
      <c r="K521" s="152">
        <v>5</v>
      </c>
      <c r="L521" s="159">
        <f>'виды работ '!C517</f>
        <v>2203646</v>
      </c>
      <c r="M521" s="159">
        <v>0</v>
      </c>
      <c r="N521" s="159">
        <v>0</v>
      </c>
      <c r="O521" s="159">
        <v>0</v>
      </c>
      <c r="P521" s="159">
        <f t="shared" si="151"/>
        <v>2203646</v>
      </c>
      <c r="Q521" s="159">
        <f t="shared" si="152"/>
        <v>3335.2696341814108</v>
      </c>
      <c r="R521" s="161">
        <v>14593.7</v>
      </c>
      <c r="S521" s="4" t="s">
        <v>279</v>
      </c>
      <c r="T521" s="152" t="s">
        <v>231</v>
      </c>
      <c r="U521" s="139"/>
      <c r="V521" s="139">
        <f>L522-'виды работ '!C518</f>
        <v>0</v>
      </c>
    </row>
    <row r="522" spans="1:22" s="138" customFormat="1" ht="14.25" customHeight="1" x14ac:dyDescent="0.2">
      <c r="A522" s="165">
        <f t="shared" si="150"/>
        <v>328</v>
      </c>
      <c r="B522" s="5" t="s">
        <v>528</v>
      </c>
      <c r="C522" s="152">
        <v>1950</v>
      </c>
      <c r="D522" s="74"/>
      <c r="E522" s="73" t="s">
        <v>219</v>
      </c>
      <c r="F522" s="153">
        <v>2</v>
      </c>
      <c r="G522" s="153">
        <v>2</v>
      </c>
      <c r="H522" s="15">
        <v>568.29999999999995</v>
      </c>
      <c r="I522" s="15">
        <v>537.29999999999995</v>
      </c>
      <c r="J522" s="77">
        <v>444.1</v>
      </c>
      <c r="K522" s="152">
        <v>13</v>
      </c>
      <c r="L522" s="159">
        <f>'виды работ '!C518</f>
        <v>3966262</v>
      </c>
      <c r="M522" s="159">
        <v>0</v>
      </c>
      <c r="N522" s="159">
        <v>0</v>
      </c>
      <c r="O522" s="159">
        <v>0</v>
      </c>
      <c r="P522" s="159">
        <f t="shared" si="151"/>
        <v>3966262</v>
      </c>
      <c r="Q522" s="159">
        <f t="shared" si="152"/>
        <v>6979.1694527538275</v>
      </c>
      <c r="R522" s="161">
        <v>14593.7</v>
      </c>
      <c r="S522" s="4" t="s">
        <v>279</v>
      </c>
      <c r="T522" s="152" t="s">
        <v>231</v>
      </c>
      <c r="U522" s="139"/>
      <c r="V522" s="139">
        <f>L523-'виды работ '!C519</f>
        <v>0</v>
      </c>
    </row>
    <row r="523" spans="1:22" s="138" customFormat="1" ht="14.25" customHeight="1" x14ac:dyDescent="0.2">
      <c r="A523" s="165">
        <f t="shared" si="150"/>
        <v>329</v>
      </c>
      <c r="B523" s="5" t="s">
        <v>529</v>
      </c>
      <c r="C523" s="152">
        <v>1950</v>
      </c>
      <c r="D523" s="74"/>
      <c r="E523" s="73" t="s">
        <v>219</v>
      </c>
      <c r="F523" s="153">
        <v>2</v>
      </c>
      <c r="G523" s="153">
        <v>3</v>
      </c>
      <c r="H523" s="15">
        <v>2696</v>
      </c>
      <c r="I523" s="15">
        <v>1450.5</v>
      </c>
      <c r="J523" s="15">
        <v>533.4</v>
      </c>
      <c r="K523" s="152">
        <v>23</v>
      </c>
      <c r="L523" s="159">
        <f>'виды работ '!C519</f>
        <v>7998420</v>
      </c>
      <c r="M523" s="159">
        <v>0</v>
      </c>
      <c r="N523" s="159">
        <v>0</v>
      </c>
      <c r="O523" s="159">
        <v>0</v>
      </c>
      <c r="P523" s="159">
        <f t="shared" si="151"/>
        <v>7998420</v>
      </c>
      <c r="Q523" s="159">
        <f t="shared" si="152"/>
        <v>2966.7729970326409</v>
      </c>
      <c r="R523" s="161">
        <v>14593.7</v>
      </c>
      <c r="S523" s="4" t="s">
        <v>279</v>
      </c>
      <c r="T523" s="152" t="s">
        <v>231</v>
      </c>
      <c r="U523" s="139"/>
      <c r="V523" s="139">
        <f>L524-'виды работ '!C520</f>
        <v>0</v>
      </c>
    </row>
    <row r="524" spans="1:22" s="138" customFormat="1" ht="14.25" customHeight="1" x14ac:dyDescent="0.2">
      <c r="A524" s="165">
        <f t="shared" si="150"/>
        <v>330</v>
      </c>
      <c r="B524" s="5" t="s">
        <v>531</v>
      </c>
      <c r="C524" s="152">
        <v>1946</v>
      </c>
      <c r="D524" s="74"/>
      <c r="E524" s="73" t="s">
        <v>219</v>
      </c>
      <c r="F524" s="153">
        <v>3</v>
      </c>
      <c r="G524" s="153">
        <v>4</v>
      </c>
      <c r="H524" s="161">
        <v>2750.3</v>
      </c>
      <c r="I524" s="161">
        <v>1686.11</v>
      </c>
      <c r="J524" s="153">
        <v>1526.01</v>
      </c>
      <c r="K524" s="152">
        <v>83</v>
      </c>
      <c r="L524" s="159">
        <f>'виды работ '!C520</f>
        <v>9359859</v>
      </c>
      <c r="M524" s="159">
        <v>0</v>
      </c>
      <c r="N524" s="159">
        <v>0</v>
      </c>
      <c r="O524" s="159">
        <v>0</v>
      </c>
      <c r="P524" s="159">
        <f>L524</f>
        <v>9359859</v>
      </c>
      <c r="Q524" s="159">
        <f>L524/H524</f>
        <v>3403.2138312184125</v>
      </c>
      <c r="R524" s="161">
        <v>14593.7</v>
      </c>
      <c r="S524" s="4" t="s">
        <v>279</v>
      </c>
      <c r="T524" s="152" t="s">
        <v>231</v>
      </c>
      <c r="U524" s="139"/>
      <c r="V524" s="139">
        <f>L525-'виды работ '!C521</f>
        <v>0</v>
      </c>
    </row>
    <row r="525" spans="1:22" s="138" customFormat="1" ht="14.25" customHeight="1" x14ac:dyDescent="0.2">
      <c r="A525" s="165">
        <f t="shared" si="150"/>
        <v>331</v>
      </c>
      <c r="B525" s="5" t="s">
        <v>532</v>
      </c>
      <c r="C525" s="152">
        <v>1954</v>
      </c>
      <c r="D525" s="74"/>
      <c r="E525" s="73" t="s">
        <v>219</v>
      </c>
      <c r="F525" s="153">
        <v>2</v>
      </c>
      <c r="G525" s="153">
        <v>2</v>
      </c>
      <c r="H525" s="153">
        <v>1892.64</v>
      </c>
      <c r="I525" s="153">
        <v>923.94</v>
      </c>
      <c r="J525" s="15">
        <v>811.4</v>
      </c>
      <c r="K525" s="152">
        <v>32</v>
      </c>
      <c r="L525" s="159">
        <f>'виды работ '!C521</f>
        <v>4431613</v>
      </c>
      <c r="M525" s="159">
        <v>0</v>
      </c>
      <c r="N525" s="159">
        <v>0</v>
      </c>
      <c r="O525" s="159">
        <v>0</v>
      </c>
      <c r="P525" s="159">
        <f>L525</f>
        <v>4431613</v>
      </c>
      <c r="Q525" s="159">
        <f>L525/H525</f>
        <v>2341.4981190295034</v>
      </c>
      <c r="R525" s="161">
        <v>14593.7</v>
      </c>
      <c r="S525" s="4" t="s">
        <v>279</v>
      </c>
      <c r="T525" s="152" t="s">
        <v>231</v>
      </c>
      <c r="U525" s="139"/>
      <c r="V525" s="139">
        <f>L526-'виды работ '!C522</f>
        <v>0</v>
      </c>
    </row>
    <row r="526" spans="1:22" s="138" customFormat="1" ht="14.25" customHeight="1" x14ac:dyDescent="0.2">
      <c r="A526" s="165">
        <f t="shared" si="150"/>
        <v>332</v>
      </c>
      <c r="B526" s="5" t="s">
        <v>533</v>
      </c>
      <c r="C526" s="152">
        <v>1952</v>
      </c>
      <c r="D526" s="74"/>
      <c r="E526" s="73" t="s">
        <v>219</v>
      </c>
      <c r="F526" s="153">
        <v>2</v>
      </c>
      <c r="G526" s="153">
        <v>2</v>
      </c>
      <c r="H526" s="153">
        <v>1402.4</v>
      </c>
      <c r="I526" s="153">
        <v>753.5</v>
      </c>
      <c r="J526" s="153">
        <v>727.3</v>
      </c>
      <c r="K526" s="152">
        <v>35</v>
      </c>
      <c r="L526" s="159">
        <f>'виды работ '!C522</f>
        <v>6592016</v>
      </c>
      <c r="M526" s="159">
        <v>0</v>
      </c>
      <c r="N526" s="159">
        <v>0</v>
      </c>
      <c r="O526" s="159">
        <v>0</v>
      </c>
      <c r="P526" s="159">
        <f>L526</f>
        <v>6592016</v>
      </c>
      <c r="Q526" s="159">
        <f>L526/H526</f>
        <v>4700.5248146035365</v>
      </c>
      <c r="R526" s="161">
        <v>14593.7</v>
      </c>
      <c r="S526" s="4" t="s">
        <v>279</v>
      </c>
      <c r="T526" s="152" t="s">
        <v>231</v>
      </c>
      <c r="U526" s="139"/>
      <c r="V526" s="139">
        <f>L527-'виды работ '!C523</f>
        <v>0</v>
      </c>
    </row>
    <row r="527" spans="1:22" s="138" customFormat="1" ht="14.25" customHeight="1" x14ac:dyDescent="0.2">
      <c r="A527" s="165">
        <f t="shared" si="150"/>
        <v>333</v>
      </c>
      <c r="B527" s="5" t="s">
        <v>534</v>
      </c>
      <c r="C527" s="152">
        <v>1953</v>
      </c>
      <c r="D527" s="74"/>
      <c r="E527" s="73" t="s">
        <v>219</v>
      </c>
      <c r="F527" s="153">
        <v>2</v>
      </c>
      <c r="G527" s="153">
        <v>1</v>
      </c>
      <c r="H527" s="161">
        <v>909.8</v>
      </c>
      <c r="I527" s="161">
        <v>508.8</v>
      </c>
      <c r="J527" s="161">
        <v>508.8</v>
      </c>
      <c r="K527" s="152">
        <v>9</v>
      </c>
      <c r="L527" s="159">
        <f>'виды работ '!C523</f>
        <v>4383481</v>
      </c>
      <c r="M527" s="159">
        <v>0</v>
      </c>
      <c r="N527" s="159">
        <v>0</v>
      </c>
      <c r="O527" s="159">
        <v>0</v>
      </c>
      <c r="P527" s="159">
        <f>L527</f>
        <v>4383481</v>
      </c>
      <c r="Q527" s="159">
        <f>L527/H527</f>
        <v>4818.0710046163995</v>
      </c>
      <c r="R527" s="161">
        <v>14593.7</v>
      </c>
      <c r="S527" s="4" t="s">
        <v>279</v>
      </c>
      <c r="T527" s="152" t="s">
        <v>231</v>
      </c>
      <c r="U527" s="139"/>
      <c r="V527" s="139">
        <f>L528-'виды работ '!C524</f>
        <v>0</v>
      </c>
    </row>
    <row r="528" spans="1:22" s="138" customFormat="1" ht="14.25" customHeight="1" x14ac:dyDescent="0.2">
      <c r="A528" s="165">
        <f t="shared" si="150"/>
        <v>334</v>
      </c>
      <c r="B528" s="5" t="s">
        <v>535</v>
      </c>
      <c r="C528" s="152">
        <v>1946</v>
      </c>
      <c r="D528" s="74"/>
      <c r="E528" s="73" t="s">
        <v>219</v>
      </c>
      <c r="F528" s="153">
        <v>2</v>
      </c>
      <c r="G528" s="153">
        <v>3</v>
      </c>
      <c r="H528" s="161">
        <v>2084.11</v>
      </c>
      <c r="I528" s="161">
        <v>1160.7</v>
      </c>
      <c r="J528" s="161">
        <v>1038.3599999999999</v>
      </c>
      <c r="K528" s="152">
        <v>42</v>
      </c>
      <c r="L528" s="159">
        <f>'виды работ '!C524</f>
        <v>4896318</v>
      </c>
      <c r="M528" s="159">
        <v>0</v>
      </c>
      <c r="N528" s="159">
        <v>0</v>
      </c>
      <c r="O528" s="159">
        <v>0</v>
      </c>
      <c r="P528" s="159">
        <f>L528</f>
        <v>4896318</v>
      </c>
      <c r="Q528" s="159">
        <f>L528/H528</f>
        <v>2349.35679978504</v>
      </c>
      <c r="R528" s="161">
        <v>14593.7</v>
      </c>
      <c r="S528" s="4" t="s">
        <v>279</v>
      </c>
      <c r="T528" s="152" t="s">
        <v>231</v>
      </c>
      <c r="U528" s="139"/>
      <c r="V528" s="139">
        <f>L529-'виды работ '!C525</f>
        <v>0</v>
      </c>
    </row>
    <row r="529" spans="1:22" s="138" customFormat="1" ht="14.25" customHeight="1" x14ac:dyDescent="0.2">
      <c r="A529" s="165">
        <f t="shared" si="150"/>
        <v>335</v>
      </c>
      <c r="B529" s="5" t="s">
        <v>530</v>
      </c>
      <c r="C529" s="152">
        <v>1946</v>
      </c>
      <c r="D529" s="74"/>
      <c r="E529" s="73" t="s">
        <v>219</v>
      </c>
      <c r="F529" s="153">
        <v>2</v>
      </c>
      <c r="G529" s="153">
        <v>4</v>
      </c>
      <c r="H529" s="161">
        <v>1254.8900000000001</v>
      </c>
      <c r="I529" s="161">
        <v>1103.8900000000001</v>
      </c>
      <c r="J529" s="161">
        <v>1087.69</v>
      </c>
      <c r="K529" s="152">
        <v>46</v>
      </c>
      <c r="L529" s="159">
        <f>'виды работ '!C525</f>
        <v>7376384</v>
      </c>
      <c r="M529" s="159">
        <v>0</v>
      </c>
      <c r="N529" s="159">
        <v>0</v>
      </c>
      <c r="O529" s="159">
        <v>0</v>
      </c>
      <c r="P529" s="159">
        <f t="shared" si="151"/>
        <v>7376384</v>
      </c>
      <c r="Q529" s="159">
        <f t="shared" si="152"/>
        <v>5878.1120257552448</v>
      </c>
      <c r="R529" s="161">
        <v>14593.7</v>
      </c>
      <c r="S529" s="4" t="s">
        <v>279</v>
      </c>
      <c r="T529" s="152" t="s">
        <v>231</v>
      </c>
      <c r="U529" s="139"/>
      <c r="V529" s="139">
        <f>L530-'виды работ '!C526</f>
        <v>0</v>
      </c>
    </row>
    <row r="530" spans="1:22" s="138" customFormat="1" ht="14.25" customHeight="1" x14ac:dyDescent="0.2">
      <c r="A530" s="165">
        <f t="shared" si="150"/>
        <v>336</v>
      </c>
      <c r="B530" s="5" t="s">
        <v>467</v>
      </c>
      <c r="C530" s="152">
        <v>1962</v>
      </c>
      <c r="D530" s="153"/>
      <c r="E530" s="152" t="s">
        <v>219</v>
      </c>
      <c r="F530" s="153">
        <v>3</v>
      </c>
      <c r="G530" s="153">
        <v>2</v>
      </c>
      <c r="H530" s="153">
        <v>1032.5999999999999</v>
      </c>
      <c r="I530" s="153">
        <v>960.4</v>
      </c>
      <c r="J530" s="153">
        <v>875.4</v>
      </c>
      <c r="K530" s="152">
        <v>46</v>
      </c>
      <c r="L530" s="159">
        <f>'виды работ '!C526</f>
        <v>3188931.67</v>
      </c>
      <c r="M530" s="159">
        <v>0</v>
      </c>
      <c r="N530" s="159">
        <v>0</v>
      </c>
      <c r="O530" s="159">
        <v>0</v>
      </c>
      <c r="P530" s="159">
        <f>L530</f>
        <v>3188931.67</v>
      </c>
      <c r="Q530" s="159">
        <f>L530/H530</f>
        <v>3088.2545709858609</v>
      </c>
      <c r="R530" s="161">
        <v>14593.7</v>
      </c>
      <c r="S530" s="4" t="s">
        <v>279</v>
      </c>
      <c r="T530" s="152" t="s">
        <v>231</v>
      </c>
      <c r="U530" s="139"/>
      <c r="V530" s="139">
        <f>L531-'виды работ '!C527</f>
        <v>0</v>
      </c>
    </row>
    <row r="531" spans="1:22" s="138" customFormat="1" ht="14.25" customHeight="1" x14ac:dyDescent="0.2">
      <c r="A531" s="165">
        <f t="shared" si="150"/>
        <v>337</v>
      </c>
      <c r="B531" s="5" t="s">
        <v>468</v>
      </c>
      <c r="C531" s="152">
        <v>1961</v>
      </c>
      <c r="D531" s="153"/>
      <c r="E531" s="152" t="s">
        <v>219</v>
      </c>
      <c r="F531" s="153">
        <v>2</v>
      </c>
      <c r="G531" s="153">
        <v>2</v>
      </c>
      <c r="H531" s="153">
        <v>685.2</v>
      </c>
      <c r="I531" s="153">
        <v>636.79999999999995</v>
      </c>
      <c r="J531" s="153">
        <v>481.2</v>
      </c>
      <c r="K531" s="152">
        <v>26</v>
      </c>
      <c r="L531" s="159">
        <f>'виды работ '!C527</f>
        <v>4789861.38</v>
      </c>
      <c r="M531" s="159">
        <v>0</v>
      </c>
      <c r="N531" s="159">
        <v>0</v>
      </c>
      <c r="O531" s="159">
        <v>0</v>
      </c>
      <c r="P531" s="159">
        <f>L531</f>
        <v>4789861.38</v>
      </c>
      <c r="Q531" s="159">
        <f>L531/H531</f>
        <v>6990.4573555166371</v>
      </c>
      <c r="R531" s="161">
        <v>14593.7</v>
      </c>
      <c r="S531" s="4" t="s">
        <v>279</v>
      </c>
      <c r="T531" s="152" t="s">
        <v>231</v>
      </c>
      <c r="U531" s="139"/>
      <c r="V531" s="139">
        <f>L532-'виды работ '!C528</f>
        <v>0</v>
      </c>
    </row>
    <row r="532" spans="1:22" s="138" customFormat="1" ht="14.25" customHeight="1" x14ac:dyDescent="0.2">
      <c r="A532" s="179" t="s">
        <v>18</v>
      </c>
      <c r="B532" s="179"/>
      <c r="C532" s="78" t="s">
        <v>222</v>
      </c>
      <c r="D532" s="78" t="s">
        <v>222</v>
      </c>
      <c r="E532" s="78" t="s">
        <v>222</v>
      </c>
      <c r="F532" s="78" t="s">
        <v>222</v>
      </c>
      <c r="G532" s="78" t="s">
        <v>222</v>
      </c>
      <c r="H532" s="78">
        <f>SUM(H506:H531)</f>
        <v>37995.249999999993</v>
      </c>
      <c r="I532" s="78">
        <f t="shared" ref="I532:P532" si="153">SUM(I506:I531)</f>
        <v>29127.34</v>
      </c>
      <c r="J532" s="78">
        <f t="shared" si="153"/>
        <v>22148.71</v>
      </c>
      <c r="K532" s="79">
        <f t="shared" si="153"/>
        <v>1118</v>
      </c>
      <c r="L532" s="78">
        <f t="shared" si="153"/>
        <v>128925090.08</v>
      </c>
      <c r="M532" s="78">
        <f t="shared" si="153"/>
        <v>0</v>
      </c>
      <c r="N532" s="78">
        <f t="shared" si="153"/>
        <v>0</v>
      </c>
      <c r="O532" s="78">
        <f t="shared" si="153"/>
        <v>0</v>
      </c>
      <c r="P532" s="78">
        <f t="shared" si="153"/>
        <v>128925090.08</v>
      </c>
      <c r="Q532" s="159">
        <f t="shared" si="152"/>
        <v>3393.1896771306947</v>
      </c>
      <c r="R532" s="11" t="s">
        <v>222</v>
      </c>
      <c r="S532" s="11" t="s">
        <v>222</v>
      </c>
      <c r="T532" s="11" t="s">
        <v>222</v>
      </c>
      <c r="U532" s="139"/>
      <c r="V532" s="139">
        <f>L533-'виды работ '!C529</f>
        <v>0</v>
      </c>
    </row>
    <row r="533" spans="1:22" s="230" customFormat="1" ht="14.25" customHeight="1" x14ac:dyDescent="0.2">
      <c r="A533" s="169" t="s">
        <v>104</v>
      </c>
      <c r="B533" s="169"/>
      <c r="C533" s="169"/>
      <c r="D533" s="158" t="s">
        <v>222</v>
      </c>
      <c r="E533" s="158" t="s">
        <v>222</v>
      </c>
      <c r="F533" s="158" t="s">
        <v>222</v>
      </c>
      <c r="G533" s="158" t="s">
        <v>222</v>
      </c>
      <c r="H533" s="166">
        <f t="shared" ref="H533:P533" si="154">H498+H504+H532</f>
        <v>51786.749999999993</v>
      </c>
      <c r="I533" s="166">
        <f t="shared" si="154"/>
        <v>35960.339999999997</v>
      </c>
      <c r="J533" s="166">
        <f t="shared" si="154"/>
        <v>27928.809999999998</v>
      </c>
      <c r="K533" s="16">
        <f t="shared" si="154"/>
        <v>1429</v>
      </c>
      <c r="L533" s="166">
        <f t="shared" si="154"/>
        <v>133762678.8</v>
      </c>
      <c r="M533" s="166">
        <f t="shared" si="154"/>
        <v>0</v>
      </c>
      <c r="N533" s="166">
        <f t="shared" si="154"/>
        <v>0</v>
      </c>
      <c r="O533" s="166">
        <f t="shared" si="154"/>
        <v>0</v>
      </c>
      <c r="P533" s="166">
        <f t="shared" si="154"/>
        <v>133762678.8</v>
      </c>
      <c r="Q533" s="158">
        <f>L533/H533</f>
        <v>2582.9517936537823</v>
      </c>
      <c r="R533" s="17" t="s">
        <v>222</v>
      </c>
      <c r="S533" s="17" t="s">
        <v>222</v>
      </c>
      <c r="T533" s="17" t="s">
        <v>222</v>
      </c>
      <c r="U533" s="166"/>
      <c r="V533" s="139">
        <f>L534-'виды работ '!C530</f>
        <v>0</v>
      </c>
    </row>
    <row r="534" spans="1:22" s="138" customFormat="1" ht="15" customHeight="1" x14ac:dyDescent="0.2">
      <c r="A534" s="175" t="s">
        <v>105</v>
      </c>
      <c r="B534" s="175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V534" s="139">
        <f>L535-'виды работ '!C531</f>
        <v>0</v>
      </c>
    </row>
    <row r="535" spans="1:22" s="138" customFormat="1" ht="19.5" customHeight="1" x14ac:dyDescent="0.2">
      <c r="A535" s="165">
        <f>A531+1</f>
        <v>338</v>
      </c>
      <c r="B535" s="5" t="s">
        <v>471</v>
      </c>
      <c r="C535" s="80">
        <v>1967</v>
      </c>
      <c r="D535" s="81"/>
      <c r="E535" s="152" t="s">
        <v>219</v>
      </c>
      <c r="F535" s="7">
        <v>5</v>
      </c>
      <c r="G535" s="7">
        <v>4</v>
      </c>
      <c r="H535" s="7">
        <v>3226.9</v>
      </c>
      <c r="I535" s="7">
        <v>3226.9</v>
      </c>
      <c r="J535" s="7">
        <v>2059.5</v>
      </c>
      <c r="K535" s="7">
        <v>165</v>
      </c>
      <c r="L535" s="82">
        <f>'виды работ '!C531</f>
        <v>5529161.4199999999</v>
      </c>
      <c r="M535" s="159">
        <v>0</v>
      </c>
      <c r="N535" s="159">
        <v>0</v>
      </c>
      <c r="O535" s="159">
        <v>0</v>
      </c>
      <c r="P535" s="159">
        <f t="shared" ref="P535:P540" si="155">L535</f>
        <v>5529161.4199999999</v>
      </c>
      <c r="Q535" s="159">
        <f t="shared" ref="Q535:Q540" si="156">L535/H535</f>
        <v>1713.4591775388142</v>
      </c>
      <c r="R535" s="161">
        <v>14593.7</v>
      </c>
      <c r="S535" s="4" t="s">
        <v>279</v>
      </c>
      <c r="T535" s="152" t="s">
        <v>231</v>
      </c>
      <c r="V535" s="139">
        <f>L536-'виды работ '!C532</f>
        <v>0</v>
      </c>
    </row>
    <row r="536" spans="1:22" s="244" customFormat="1" ht="19.5" customHeight="1" x14ac:dyDescent="0.2">
      <c r="A536" s="165">
        <f>A535+1</f>
        <v>339</v>
      </c>
      <c r="B536" s="5" t="s">
        <v>472</v>
      </c>
      <c r="C536" s="9">
        <v>1961</v>
      </c>
      <c r="D536" s="81"/>
      <c r="E536" s="152" t="s">
        <v>219</v>
      </c>
      <c r="F536" s="9">
        <v>3</v>
      </c>
      <c r="G536" s="9">
        <v>3</v>
      </c>
      <c r="H536" s="83">
        <v>1522.6</v>
      </c>
      <c r="I536" s="84">
        <v>1032</v>
      </c>
      <c r="J536" s="84">
        <v>1032</v>
      </c>
      <c r="K536" s="9">
        <v>84</v>
      </c>
      <c r="L536" s="82">
        <f>'виды работ '!C532</f>
        <v>478153.33</v>
      </c>
      <c r="M536" s="159">
        <v>0</v>
      </c>
      <c r="N536" s="159">
        <v>0</v>
      </c>
      <c r="O536" s="159">
        <v>0</v>
      </c>
      <c r="P536" s="159">
        <f t="shared" si="155"/>
        <v>478153.33</v>
      </c>
      <c r="Q536" s="159">
        <f t="shared" si="156"/>
        <v>314.03738999080525</v>
      </c>
      <c r="R536" s="161">
        <v>14593.7</v>
      </c>
      <c r="S536" s="4" t="s">
        <v>279</v>
      </c>
      <c r="T536" s="152" t="s">
        <v>231</v>
      </c>
      <c r="V536" s="139">
        <f>L537-'виды работ '!C533</f>
        <v>0</v>
      </c>
    </row>
    <row r="537" spans="1:22" s="244" customFormat="1" ht="18" customHeight="1" x14ac:dyDescent="0.2">
      <c r="A537" s="165">
        <f t="shared" ref="A537:A547" si="157">A536+1</f>
        <v>340</v>
      </c>
      <c r="B537" s="5" t="s">
        <v>473</v>
      </c>
      <c r="C537" s="85">
        <v>1966</v>
      </c>
      <c r="D537" s="81"/>
      <c r="E537" s="152" t="s">
        <v>219</v>
      </c>
      <c r="F537" s="85">
        <v>5</v>
      </c>
      <c r="G537" s="85">
        <v>3</v>
      </c>
      <c r="H537" s="85">
        <v>3123.5</v>
      </c>
      <c r="I537" s="86">
        <v>2551.5</v>
      </c>
      <c r="J537" s="86">
        <v>2551.5</v>
      </c>
      <c r="K537" s="81">
        <v>94</v>
      </c>
      <c r="L537" s="87">
        <f>'виды работ '!C533</f>
        <v>428343.92</v>
      </c>
      <c r="M537" s="159">
        <v>0</v>
      </c>
      <c r="N537" s="159">
        <v>0</v>
      </c>
      <c r="O537" s="159">
        <v>0</v>
      </c>
      <c r="P537" s="159">
        <f t="shared" si="155"/>
        <v>428343.92</v>
      </c>
      <c r="Q537" s="159">
        <f t="shared" si="156"/>
        <v>137.13587962221865</v>
      </c>
      <c r="R537" s="161">
        <v>14593.7</v>
      </c>
      <c r="S537" s="4" t="s">
        <v>279</v>
      </c>
      <c r="T537" s="152" t="s">
        <v>231</v>
      </c>
      <c r="V537" s="139">
        <f>L538-'виды работ '!C534</f>
        <v>0</v>
      </c>
    </row>
    <row r="538" spans="1:22" s="138" customFormat="1" ht="19.5" customHeight="1" x14ac:dyDescent="0.2">
      <c r="A538" s="165">
        <f t="shared" si="157"/>
        <v>341</v>
      </c>
      <c r="B538" s="5" t="s">
        <v>474</v>
      </c>
      <c r="C538" s="85">
        <v>1980</v>
      </c>
      <c r="D538" s="7"/>
      <c r="E538" s="152" t="s">
        <v>219</v>
      </c>
      <c r="F538" s="88">
        <v>9</v>
      </c>
      <c r="G538" s="88">
        <v>1</v>
      </c>
      <c r="H538" s="85">
        <v>6080.6</v>
      </c>
      <c r="I538" s="81">
        <v>6080.6</v>
      </c>
      <c r="J538" s="81">
        <v>3128</v>
      </c>
      <c r="K538" s="89">
        <v>262</v>
      </c>
      <c r="L538" s="161">
        <f>'виды работ '!C534</f>
        <v>4849950</v>
      </c>
      <c r="M538" s="159">
        <v>0</v>
      </c>
      <c r="N538" s="159">
        <v>0</v>
      </c>
      <c r="O538" s="159">
        <v>0</v>
      </c>
      <c r="P538" s="159">
        <f t="shared" si="155"/>
        <v>4849950</v>
      </c>
      <c r="Q538" s="159">
        <f t="shared" si="156"/>
        <v>797.61043318093607</v>
      </c>
      <c r="R538" s="161">
        <v>14593.7</v>
      </c>
      <c r="S538" s="4" t="s">
        <v>279</v>
      </c>
      <c r="T538" s="152" t="s">
        <v>231</v>
      </c>
      <c r="V538" s="139">
        <f>L539-'виды работ '!C535</f>
        <v>0</v>
      </c>
    </row>
    <row r="539" spans="1:22" s="138" customFormat="1" ht="18" customHeight="1" x14ac:dyDescent="0.2">
      <c r="A539" s="165">
        <f t="shared" si="157"/>
        <v>342</v>
      </c>
      <c r="B539" s="5" t="s">
        <v>475</v>
      </c>
      <c r="C539" s="85">
        <v>1967</v>
      </c>
      <c r="D539" s="81"/>
      <c r="E539" s="152" t="s">
        <v>219</v>
      </c>
      <c r="F539" s="85">
        <v>5</v>
      </c>
      <c r="G539" s="85">
        <v>4</v>
      </c>
      <c r="H539" s="81">
        <v>3331.7</v>
      </c>
      <c r="I539" s="81">
        <v>3331.7</v>
      </c>
      <c r="J539" s="81">
        <v>2062.6</v>
      </c>
      <c r="K539" s="85">
        <v>167</v>
      </c>
      <c r="L539" s="161">
        <f>'виды работ '!C535</f>
        <v>1484935.53</v>
      </c>
      <c r="M539" s="159">
        <v>0</v>
      </c>
      <c r="N539" s="159">
        <v>0</v>
      </c>
      <c r="O539" s="159">
        <v>0</v>
      </c>
      <c r="P539" s="159">
        <f t="shared" si="155"/>
        <v>1484935.53</v>
      </c>
      <c r="Q539" s="159">
        <f t="shared" si="156"/>
        <v>445.69905153525229</v>
      </c>
      <c r="R539" s="161">
        <v>14593.7</v>
      </c>
      <c r="S539" s="4" t="s">
        <v>279</v>
      </c>
      <c r="T539" s="152" t="s">
        <v>231</v>
      </c>
      <c r="V539" s="139">
        <f>L540-'виды работ '!C536</f>
        <v>0</v>
      </c>
    </row>
    <row r="540" spans="1:22" s="138" customFormat="1" ht="19.5" customHeight="1" x14ac:dyDescent="0.2">
      <c r="A540" s="165">
        <f t="shared" si="157"/>
        <v>343</v>
      </c>
      <c r="B540" s="5" t="s">
        <v>476</v>
      </c>
      <c r="C540" s="85">
        <v>1974</v>
      </c>
      <c r="D540" s="7"/>
      <c r="E540" s="152" t="s">
        <v>219</v>
      </c>
      <c r="F540" s="85">
        <v>9</v>
      </c>
      <c r="G540" s="85">
        <v>1</v>
      </c>
      <c r="H540" s="81">
        <v>6040.8</v>
      </c>
      <c r="I540" s="81">
        <v>4422.6000000000004</v>
      </c>
      <c r="J540" s="81">
        <v>2995.6</v>
      </c>
      <c r="K540" s="85">
        <v>263</v>
      </c>
      <c r="L540" s="161">
        <f>'виды работ '!C536</f>
        <v>4849950</v>
      </c>
      <c r="M540" s="159">
        <v>0</v>
      </c>
      <c r="N540" s="159">
        <v>0</v>
      </c>
      <c r="O540" s="159">
        <v>0</v>
      </c>
      <c r="P540" s="159">
        <f t="shared" si="155"/>
        <v>4849950</v>
      </c>
      <c r="Q540" s="159">
        <f t="shared" si="156"/>
        <v>802.86551450139052</v>
      </c>
      <c r="R540" s="161">
        <v>14593.7</v>
      </c>
      <c r="S540" s="4" t="s">
        <v>279</v>
      </c>
      <c r="T540" s="152" t="s">
        <v>231</v>
      </c>
      <c r="V540" s="139">
        <f>L541-'виды работ '!C537</f>
        <v>0</v>
      </c>
    </row>
    <row r="541" spans="1:22" s="244" customFormat="1" ht="18" customHeight="1" x14ac:dyDescent="0.2">
      <c r="A541" s="165">
        <f t="shared" si="157"/>
        <v>344</v>
      </c>
      <c r="B541" s="5" t="s">
        <v>477</v>
      </c>
      <c r="C541" s="85">
        <v>1960</v>
      </c>
      <c r="D541" s="81"/>
      <c r="E541" s="152" t="s">
        <v>219</v>
      </c>
      <c r="F541" s="85">
        <v>2</v>
      </c>
      <c r="G541" s="85">
        <v>2</v>
      </c>
      <c r="H541" s="85">
        <v>636</v>
      </c>
      <c r="I541" s="85">
        <v>636</v>
      </c>
      <c r="J541" s="81">
        <v>413.1</v>
      </c>
      <c r="K541" s="85">
        <v>39</v>
      </c>
      <c r="L541" s="161">
        <f>'виды работ '!C537</f>
        <v>3057973.68</v>
      </c>
      <c r="M541" s="159">
        <v>0</v>
      </c>
      <c r="N541" s="159">
        <v>0</v>
      </c>
      <c r="O541" s="159">
        <v>0</v>
      </c>
      <c r="P541" s="159">
        <f t="shared" ref="P541:P547" si="158">L541</f>
        <v>3057973.68</v>
      </c>
      <c r="Q541" s="159">
        <f t="shared" ref="Q541:Q548" si="159">L541/H541</f>
        <v>4808.1347169811324</v>
      </c>
      <c r="R541" s="161">
        <v>14593.7</v>
      </c>
      <c r="S541" s="4" t="s">
        <v>279</v>
      </c>
      <c r="T541" s="152" t="s">
        <v>231</v>
      </c>
      <c r="V541" s="139">
        <f>L542-'виды работ '!C538</f>
        <v>0</v>
      </c>
    </row>
    <row r="542" spans="1:22" s="138" customFormat="1" ht="18" customHeight="1" x14ac:dyDescent="0.2">
      <c r="A542" s="165">
        <f t="shared" si="157"/>
        <v>345</v>
      </c>
      <c r="B542" s="5" t="s">
        <v>478</v>
      </c>
      <c r="C542" s="9">
        <v>1961</v>
      </c>
      <c r="D542" s="81"/>
      <c r="E542" s="152" t="s">
        <v>219</v>
      </c>
      <c r="F542" s="9">
        <v>3</v>
      </c>
      <c r="G542" s="9">
        <v>2</v>
      </c>
      <c r="H542" s="83">
        <v>964.4</v>
      </c>
      <c r="I542" s="84">
        <v>914.4</v>
      </c>
      <c r="J542" s="84">
        <v>914.4</v>
      </c>
      <c r="K542" s="9">
        <v>43</v>
      </c>
      <c r="L542" s="161">
        <f>'виды работ '!C538</f>
        <v>371050.09</v>
      </c>
      <c r="M542" s="159">
        <v>0</v>
      </c>
      <c r="N542" s="159">
        <v>0</v>
      </c>
      <c r="O542" s="159">
        <v>0</v>
      </c>
      <c r="P542" s="159">
        <f t="shared" si="158"/>
        <v>371050.09</v>
      </c>
      <c r="Q542" s="159">
        <f t="shared" si="159"/>
        <v>384.74708627125676</v>
      </c>
      <c r="R542" s="161">
        <v>14593.7</v>
      </c>
      <c r="S542" s="4" t="s">
        <v>279</v>
      </c>
      <c r="T542" s="152" t="s">
        <v>231</v>
      </c>
      <c r="V542" s="139">
        <f>L543-'виды работ '!C539</f>
        <v>0</v>
      </c>
    </row>
    <row r="543" spans="1:22" s="138" customFormat="1" ht="18" customHeight="1" x14ac:dyDescent="0.2">
      <c r="A543" s="165">
        <f t="shared" si="157"/>
        <v>346</v>
      </c>
      <c r="B543" s="5" t="s">
        <v>479</v>
      </c>
      <c r="C543" s="9">
        <v>1960</v>
      </c>
      <c r="D543" s="81"/>
      <c r="E543" s="152" t="s">
        <v>219</v>
      </c>
      <c r="F543" s="9">
        <v>2</v>
      </c>
      <c r="G543" s="9">
        <v>2</v>
      </c>
      <c r="H543" s="83">
        <v>644</v>
      </c>
      <c r="I543" s="84">
        <v>614</v>
      </c>
      <c r="J543" s="84">
        <v>614</v>
      </c>
      <c r="K543" s="9">
        <v>32</v>
      </c>
      <c r="L543" s="161">
        <f>'виды работ '!C539</f>
        <v>371050.09</v>
      </c>
      <c r="M543" s="159">
        <v>0</v>
      </c>
      <c r="N543" s="159">
        <v>0</v>
      </c>
      <c r="O543" s="159">
        <v>0</v>
      </c>
      <c r="P543" s="159">
        <f t="shared" si="158"/>
        <v>371050.09</v>
      </c>
      <c r="Q543" s="159">
        <f t="shared" si="159"/>
        <v>576.16473602484473</v>
      </c>
      <c r="R543" s="161">
        <v>14593.7</v>
      </c>
      <c r="S543" s="4" t="s">
        <v>279</v>
      </c>
      <c r="T543" s="152" t="s">
        <v>231</v>
      </c>
      <c r="V543" s="139">
        <f>L544-'виды работ '!C540</f>
        <v>0</v>
      </c>
    </row>
    <row r="544" spans="1:22" s="244" customFormat="1" ht="18" customHeight="1" x14ac:dyDescent="0.2">
      <c r="A544" s="165">
        <f t="shared" si="157"/>
        <v>347</v>
      </c>
      <c r="B544" s="5" t="s">
        <v>480</v>
      </c>
      <c r="C544" s="85">
        <v>1960</v>
      </c>
      <c r="D544" s="81"/>
      <c r="E544" s="152" t="s">
        <v>219</v>
      </c>
      <c r="F544" s="85">
        <v>2</v>
      </c>
      <c r="G544" s="85">
        <v>2</v>
      </c>
      <c r="H544" s="85">
        <v>639.6</v>
      </c>
      <c r="I544" s="85">
        <v>639.6</v>
      </c>
      <c r="J544" s="81">
        <v>410.4</v>
      </c>
      <c r="K544" s="85">
        <v>22</v>
      </c>
      <c r="L544" s="82">
        <f>'виды работ '!C540</f>
        <v>2814999.86</v>
      </c>
      <c r="M544" s="159">
        <v>0</v>
      </c>
      <c r="N544" s="159">
        <v>0</v>
      </c>
      <c r="O544" s="159">
        <v>0</v>
      </c>
      <c r="P544" s="159">
        <f t="shared" si="158"/>
        <v>2814999.86</v>
      </c>
      <c r="Q544" s="159">
        <f t="shared" si="159"/>
        <v>4401.1880237648529</v>
      </c>
      <c r="R544" s="161">
        <v>14593.7</v>
      </c>
      <c r="S544" s="4" t="s">
        <v>279</v>
      </c>
      <c r="T544" s="152" t="s">
        <v>231</v>
      </c>
      <c r="V544" s="139">
        <f>L545-'виды работ '!C541</f>
        <v>0</v>
      </c>
    </row>
    <row r="545" spans="1:22" s="244" customFormat="1" ht="19.5" customHeight="1" x14ac:dyDescent="0.2">
      <c r="A545" s="165">
        <f t="shared" si="157"/>
        <v>348</v>
      </c>
      <c r="B545" s="5" t="s">
        <v>481</v>
      </c>
      <c r="C545" s="80">
        <v>1973</v>
      </c>
      <c r="D545" s="81"/>
      <c r="E545" s="152" t="s">
        <v>219</v>
      </c>
      <c r="F545" s="7">
        <v>5</v>
      </c>
      <c r="G545" s="7">
        <v>6</v>
      </c>
      <c r="H545" s="7">
        <v>5484.7</v>
      </c>
      <c r="I545" s="90">
        <v>5483</v>
      </c>
      <c r="J545" s="7">
        <v>3814.9</v>
      </c>
      <c r="K545" s="7">
        <v>338</v>
      </c>
      <c r="L545" s="82">
        <f>'виды работ '!C541</f>
        <v>5182822.34</v>
      </c>
      <c r="M545" s="159">
        <v>0</v>
      </c>
      <c r="N545" s="159">
        <v>0</v>
      </c>
      <c r="O545" s="159">
        <v>0</v>
      </c>
      <c r="P545" s="159">
        <f t="shared" si="158"/>
        <v>5182822.34</v>
      </c>
      <c r="Q545" s="159">
        <f t="shared" si="159"/>
        <v>944.96004157018615</v>
      </c>
      <c r="R545" s="161">
        <v>14593.7</v>
      </c>
      <c r="S545" s="4" t="s">
        <v>279</v>
      </c>
      <c r="T545" s="152" t="s">
        <v>231</v>
      </c>
      <c r="V545" s="139">
        <f>L546-'виды работ '!C542</f>
        <v>0</v>
      </c>
    </row>
    <row r="546" spans="1:22" s="138" customFormat="1" ht="18" customHeight="1" x14ac:dyDescent="0.2">
      <c r="A546" s="165">
        <f t="shared" si="157"/>
        <v>349</v>
      </c>
      <c r="B546" s="5" t="s">
        <v>482</v>
      </c>
      <c r="C546" s="85">
        <v>1982</v>
      </c>
      <c r="D546" s="81"/>
      <c r="E546" s="152" t="s">
        <v>219</v>
      </c>
      <c r="F546" s="85">
        <v>9</v>
      </c>
      <c r="G546" s="85">
        <v>1</v>
      </c>
      <c r="H546" s="7">
        <v>5797.4</v>
      </c>
      <c r="I546" s="81">
        <v>4485.3</v>
      </c>
      <c r="J546" s="81">
        <v>2988.1</v>
      </c>
      <c r="K546" s="85">
        <v>311</v>
      </c>
      <c r="L546" s="161">
        <f>'виды работ '!C542</f>
        <v>2421774.0299999998</v>
      </c>
      <c r="M546" s="159">
        <v>0</v>
      </c>
      <c r="N546" s="159">
        <v>0</v>
      </c>
      <c r="O546" s="159">
        <v>0</v>
      </c>
      <c r="P546" s="159">
        <f t="shared" si="158"/>
        <v>2421774.0299999998</v>
      </c>
      <c r="Q546" s="159">
        <f t="shared" si="159"/>
        <v>417.73450684789731</v>
      </c>
      <c r="R546" s="161">
        <v>14593.7</v>
      </c>
      <c r="S546" s="4" t="s">
        <v>279</v>
      </c>
      <c r="T546" s="152" t="s">
        <v>231</v>
      </c>
      <c r="V546" s="139">
        <f>L547-'виды работ '!C543</f>
        <v>0</v>
      </c>
    </row>
    <row r="547" spans="1:22" s="138" customFormat="1" ht="19.5" customHeight="1" x14ac:dyDescent="0.2">
      <c r="A547" s="165">
        <f t="shared" si="157"/>
        <v>350</v>
      </c>
      <c r="B547" s="5" t="s">
        <v>483</v>
      </c>
      <c r="C547" s="85">
        <v>1980</v>
      </c>
      <c r="D547" s="81"/>
      <c r="E547" s="152" t="s">
        <v>219</v>
      </c>
      <c r="F547" s="85">
        <v>12</v>
      </c>
      <c r="G547" s="85">
        <v>1</v>
      </c>
      <c r="H547" s="85">
        <v>5156.2</v>
      </c>
      <c r="I547" s="86">
        <v>3943.1</v>
      </c>
      <c r="J547" s="86">
        <v>3943.1</v>
      </c>
      <c r="K547" s="81">
        <v>188</v>
      </c>
      <c r="L547" s="161">
        <f>'виды работ '!C543</f>
        <v>2778051.36</v>
      </c>
      <c r="M547" s="159">
        <v>0</v>
      </c>
      <c r="N547" s="159">
        <v>0</v>
      </c>
      <c r="O547" s="159">
        <v>0</v>
      </c>
      <c r="P547" s="159">
        <f t="shared" si="158"/>
        <v>2778051.36</v>
      </c>
      <c r="Q547" s="159">
        <f t="shared" si="159"/>
        <v>538.77882161281559</v>
      </c>
      <c r="R547" s="161">
        <v>14593.7</v>
      </c>
      <c r="S547" s="4" t="s">
        <v>279</v>
      </c>
      <c r="T547" s="152" t="s">
        <v>231</v>
      </c>
      <c r="V547" s="139">
        <f>L548-'виды работ '!C544</f>
        <v>0</v>
      </c>
    </row>
    <row r="548" spans="1:22" s="230" customFormat="1" ht="20.25" customHeight="1" x14ac:dyDescent="0.2">
      <c r="A548" s="169" t="s">
        <v>233</v>
      </c>
      <c r="B548" s="169"/>
      <c r="C548" s="158" t="s">
        <v>222</v>
      </c>
      <c r="D548" s="158" t="s">
        <v>222</v>
      </c>
      <c r="E548" s="158" t="s">
        <v>222</v>
      </c>
      <c r="F548" s="158" t="s">
        <v>222</v>
      </c>
      <c r="G548" s="158" t="s">
        <v>222</v>
      </c>
      <c r="H548" s="166">
        <f t="shared" ref="H548:P548" si="160">SUM(H535:H547)</f>
        <v>42648.399999999994</v>
      </c>
      <c r="I548" s="166">
        <f t="shared" si="160"/>
        <v>37360.700000000004</v>
      </c>
      <c r="J548" s="166">
        <f t="shared" si="160"/>
        <v>26927.199999999997</v>
      </c>
      <c r="K548" s="16">
        <f t="shared" si="160"/>
        <v>2008</v>
      </c>
      <c r="L548" s="166">
        <f t="shared" si="160"/>
        <v>34618215.649999999</v>
      </c>
      <c r="M548" s="166">
        <f t="shared" si="160"/>
        <v>0</v>
      </c>
      <c r="N548" s="166">
        <f t="shared" si="160"/>
        <v>0</v>
      </c>
      <c r="O548" s="166">
        <f t="shared" si="160"/>
        <v>0</v>
      </c>
      <c r="P548" s="166">
        <f t="shared" si="160"/>
        <v>34618215.649999999</v>
      </c>
      <c r="Q548" s="158">
        <f t="shared" si="159"/>
        <v>811.71194347267431</v>
      </c>
      <c r="R548" s="17" t="s">
        <v>222</v>
      </c>
      <c r="S548" s="17" t="s">
        <v>222</v>
      </c>
      <c r="T548" s="17" t="s">
        <v>222</v>
      </c>
      <c r="U548" s="243"/>
      <c r="V548" s="139">
        <f>L549-'виды работ '!C545</f>
        <v>0</v>
      </c>
    </row>
    <row r="549" spans="1:22" s="138" customFormat="1" ht="15" customHeight="1" x14ac:dyDescent="0.2">
      <c r="A549" s="175" t="s">
        <v>166</v>
      </c>
      <c r="B549" s="175"/>
      <c r="C549" s="175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V549" s="139">
        <f>L550-'виды работ '!C546</f>
        <v>0</v>
      </c>
    </row>
    <row r="550" spans="1:22" s="138" customFormat="1" ht="15" customHeight="1" x14ac:dyDescent="0.2">
      <c r="A550" s="173" t="s">
        <v>121</v>
      </c>
      <c r="B550" s="173"/>
      <c r="C550" s="173"/>
      <c r="D550" s="173"/>
      <c r="E550" s="173"/>
      <c r="F550" s="178"/>
      <c r="G550" s="178"/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  <c r="S550" s="178"/>
      <c r="T550" s="178"/>
      <c r="U550" s="139"/>
      <c r="V550" s="139">
        <f>L551-'виды работ '!C547</f>
        <v>0</v>
      </c>
    </row>
    <row r="551" spans="1:22" s="138" customFormat="1" ht="15" customHeight="1" x14ac:dyDescent="0.2">
      <c r="A551" s="160">
        <f>A547+1</f>
        <v>351</v>
      </c>
      <c r="B551" s="91" t="s">
        <v>484</v>
      </c>
      <c r="C551" s="153">
        <v>1966</v>
      </c>
      <c r="D551" s="153"/>
      <c r="E551" s="152" t="s">
        <v>219</v>
      </c>
      <c r="F551" s="153">
        <v>2</v>
      </c>
      <c r="G551" s="153">
        <v>2</v>
      </c>
      <c r="H551" s="152">
        <v>503.2</v>
      </c>
      <c r="I551" s="152">
        <v>503.2</v>
      </c>
      <c r="J551" s="153">
        <v>168.14</v>
      </c>
      <c r="K551" s="153">
        <v>21</v>
      </c>
      <c r="L551" s="159">
        <f>'виды работ '!C547</f>
        <v>1674383.42</v>
      </c>
      <c r="M551" s="159">
        <v>0</v>
      </c>
      <c r="N551" s="159">
        <v>0</v>
      </c>
      <c r="O551" s="159">
        <v>0</v>
      </c>
      <c r="P551" s="159">
        <f>L551</f>
        <v>1674383.42</v>
      </c>
      <c r="Q551" s="159">
        <f>L551/H551</f>
        <v>3327.4710254372017</v>
      </c>
      <c r="R551" s="161">
        <v>14593.7</v>
      </c>
      <c r="S551" s="4" t="s">
        <v>279</v>
      </c>
      <c r="T551" s="152" t="s">
        <v>231</v>
      </c>
      <c r="U551" s="139"/>
      <c r="V551" s="139">
        <f>L552-'виды работ '!C548</f>
        <v>0</v>
      </c>
    </row>
    <row r="552" spans="1:22" s="138" customFormat="1" ht="15" customHeight="1" x14ac:dyDescent="0.2">
      <c r="A552" s="160">
        <f>A551+1</f>
        <v>352</v>
      </c>
      <c r="B552" s="91" t="s">
        <v>485</v>
      </c>
      <c r="C552" s="153">
        <v>1966</v>
      </c>
      <c r="D552" s="153"/>
      <c r="E552" s="152" t="s">
        <v>219</v>
      </c>
      <c r="F552" s="153">
        <v>2</v>
      </c>
      <c r="G552" s="153">
        <v>2</v>
      </c>
      <c r="H552" s="152">
        <v>502.52</v>
      </c>
      <c r="I552" s="152">
        <v>502.52</v>
      </c>
      <c r="J552" s="153">
        <v>178.8</v>
      </c>
      <c r="K552" s="153">
        <v>40</v>
      </c>
      <c r="L552" s="159">
        <f>'виды работ '!C548</f>
        <v>1539804.81</v>
      </c>
      <c r="M552" s="159">
        <v>0</v>
      </c>
      <c r="N552" s="159">
        <v>0</v>
      </c>
      <c r="O552" s="159">
        <v>0</v>
      </c>
      <c r="P552" s="159">
        <f>L552</f>
        <v>1539804.81</v>
      </c>
      <c r="Q552" s="159">
        <f>L552/H552</f>
        <v>3064.1662222399109</v>
      </c>
      <c r="R552" s="161">
        <v>14593.7</v>
      </c>
      <c r="S552" s="4" t="s">
        <v>279</v>
      </c>
      <c r="T552" s="152" t="s">
        <v>231</v>
      </c>
      <c r="U552" s="139"/>
      <c r="V552" s="139">
        <f>L553-'виды работ '!C549</f>
        <v>0</v>
      </c>
    </row>
    <row r="553" spans="1:22" s="138" customFormat="1" ht="15" customHeight="1" x14ac:dyDescent="0.2">
      <c r="A553" s="177" t="s">
        <v>18</v>
      </c>
      <c r="B553" s="177"/>
      <c r="C553" s="78" t="s">
        <v>222</v>
      </c>
      <c r="D553" s="78" t="s">
        <v>222</v>
      </c>
      <c r="E553" s="78" t="s">
        <v>222</v>
      </c>
      <c r="F553" s="78" t="s">
        <v>222</v>
      </c>
      <c r="G553" s="78" t="s">
        <v>222</v>
      </c>
      <c r="H553" s="159">
        <f>SUM(H551:H552)</f>
        <v>1005.72</v>
      </c>
      <c r="I553" s="159">
        <f t="shared" ref="I553:P553" si="161">SUM(I551:I552)</f>
        <v>1005.72</v>
      </c>
      <c r="J553" s="159">
        <f t="shared" si="161"/>
        <v>346.94</v>
      </c>
      <c r="K553" s="160">
        <f t="shared" si="161"/>
        <v>61</v>
      </c>
      <c r="L553" s="159">
        <f>SUM(L551:L552)</f>
        <v>3214188.23</v>
      </c>
      <c r="M553" s="159">
        <f t="shared" si="161"/>
        <v>0</v>
      </c>
      <c r="N553" s="159">
        <f t="shared" si="161"/>
        <v>0</v>
      </c>
      <c r="O553" s="159">
        <f t="shared" si="161"/>
        <v>0</v>
      </c>
      <c r="P553" s="159">
        <f t="shared" si="161"/>
        <v>3214188.23</v>
      </c>
      <c r="Q553" s="159">
        <f>L553/H553</f>
        <v>3195.9076383088732</v>
      </c>
      <c r="R553" s="11" t="s">
        <v>222</v>
      </c>
      <c r="S553" s="11" t="s">
        <v>222</v>
      </c>
      <c r="T553" s="11" t="s">
        <v>222</v>
      </c>
      <c r="U553" s="139"/>
      <c r="V553" s="139">
        <f>L554-'виды работ '!C550</f>
        <v>0</v>
      </c>
    </row>
    <row r="554" spans="1:22" s="138" customFormat="1" ht="15" customHeight="1" x14ac:dyDescent="0.2">
      <c r="A554" s="173" t="s">
        <v>167</v>
      </c>
      <c r="B554" s="173"/>
      <c r="C554" s="173"/>
      <c r="D554" s="173"/>
      <c r="E554" s="173"/>
      <c r="F554" s="178"/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39"/>
      <c r="V554" s="139">
        <f>L555-'виды работ '!C551</f>
        <v>0</v>
      </c>
    </row>
    <row r="555" spans="1:22" s="138" customFormat="1" ht="15" customHeight="1" x14ac:dyDescent="0.2">
      <c r="A555" s="160">
        <f>A552+1</f>
        <v>353</v>
      </c>
      <c r="B555" s="91" t="s">
        <v>486</v>
      </c>
      <c r="C555" s="153">
        <v>1965</v>
      </c>
      <c r="D555" s="153"/>
      <c r="E555" s="152" t="s">
        <v>219</v>
      </c>
      <c r="F555" s="153">
        <v>2</v>
      </c>
      <c r="G555" s="153">
        <v>2</v>
      </c>
      <c r="H555" s="153">
        <v>606.79999999999995</v>
      </c>
      <c r="I555" s="153">
        <v>606.79999999999995</v>
      </c>
      <c r="J555" s="153">
        <v>334.7</v>
      </c>
      <c r="K555" s="7">
        <v>32</v>
      </c>
      <c r="L555" s="161">
        <f>'виды работ '!C551</f>
        <v>1767351.8</v>
      </c>
      <c r="M555" s="159">
        <v>0</v>
      </c>
      <c r="N555" s="159">
        <v>0</v>
      </c>
      <c r="O555" s="159">
        <v>0</v>
      </c>
      <c r="P555" s="159">
        <f>L555</f>
        <v>1767351.8</v>
      </c>
      <c r="Q555" s="159">
        <f>L555/H555</f>
        <v>2912.5771259063945</v>
      </c>
      <c r="R555" s="161">
        <v>14593.7</v>
      </c>
      <c r="S555" s="4" t="s">
        <v>279</v>
      </c>
      <c r="T555" s="152" t="s">
        <v>231</v>
      </c>
      <c r="U555" s="139"/>
      <c r="V555" s="139">
        <f>L556-'виды работ '!C552</f>
        <v>0</v>
      </c>
    </row>
    <row r="556" spans="1:22" s="138" customFormat="1" ht="15" customHeight="1" x14ac:dyDescent="0.2">
      <c r="A556" s="177" t="s">
        <v>18</v>
      </c>
      <c r="B556" s="177"/>
      <c r="C556" s="78" t="s">
        <v>222</v>
      </c>
      <c r="D556" s="78" t="s">
        <v>222</v>
      </c>
      <c r="E556" s="78" t="s">
        <v>222</v>
      </c>
      <c r="F556" s="78" t="s">
        <v>222</v>
      </c>
      <c r="G556" s="78" t="s">
        <v>222</v>
      </c>
      <c r="H556" s="159">
        <f t="shared" ref="H556:P556" si="162">SUM(H555:H555)</f>
        <v>606.79999999999995</v>
      </c>
      <c r="I556" s="159">
        <f t="shared" si="162"/>
        <v>606.79999999999995</v>
      </c>
      <c r="J556" s="159">
        <f t="shared" si="162"/>
        <v>334.7</v>
      </c>
      <c r="K556" s="160">
        <f t="shared" si="162"/>
        <v>32</v>
      </c>
      <c r="L556" s="159">
        <f t="shared" si="162"/>
        <v>1767351.8</v>
      </c>
      <c r="M556" s="159">
        <f t="shared" si="162"/>
        <v>0</v>
      </c>
      <c r="N556" s="159">
        <f t="shared" si="162"/>
        <v>0</v>
      </c>
      <c r="O556" s="159">
        <f t="shared" si="162"/>
        <v>0</v>
      </c>
      <c r="P556" s="159">
        <f t="shared" si="162"/>
        <v>1767351.8</v>
      </c>
      <c r="Q556" s="159">
        <f>L556/H556</f>
        <v>2912.5771259063945</v>
      </c>
      <c r="R556" s="11" t="s">
        <v>222</v>
      </c>
      <c r="S556" s="11" t="s">
        <v>222</v>
      </c>
      <c r="T556" s="11" t="s">
        <v>222</v>
      </c>
      <c r="U556" s="139"/>
      <c r="V556" s="139">
        <f>L557-'виды работ '!C553</f>
        <v>0</v>
      </c>
    </row>
    <row r="557" spans="1:22" s="138" customFormat="1" ht="15.75" customHeight="1" x14ac:dyDescent="0.2">
      <c r="A557" s="173" t="s">
        <v>168</v>
      </c>
      <c r="B557" s="173"/>
      <c r="C557" s="173"/>
      <c r="D557" s="173"/>
      <c r="E557" s="173"/>
      <c r="F557" s="176"/>
      <c r="G557" s="176"/>
      <c r="H557" s="176"/>
      <c r="I557" s="176"/>
      <c r="J557" s="176"/>
      <c r="K557" s="176"/>
      <c r="L557" s="176"/>
      <c r="M557" s="176"/>
      <c r="N557" s="176"/>
      <c r="O557" s="176"/>
      <c r="P557" s="176"/>
      <c r="Q557" s="176"/>
      <c r="R557" s="176"/>
      <c r="S557" s="176"/>
      <c r="T557" s="176"/>
      <c r="U557" s="139"/>
      <c r="V557" s="139">
        <f>L558-'виды работ '!C554</f>
        <v>0</v>
      </c>
    </row>
    <row r="558" spans="1:22" s="138" customFormat="1" ht="12.75" x14ac:dyDescent="0.2">
      <c r="A558" s="160">
        <f>A555+1</f>
        <v>354</v>
      </c>
      <c r="B558" s="27" t="s">
        <v>169</v>
      </c>
      <c r="C558" s="12">
        <v>1976</v>
      </c>
      <c r="D558" s="161"/>
      <c r="E558" s="152" t="s">
        <v>219</v>
      </c>
      <c r="F558" s="165">
        <v>2</v>
      </c>
      <c r="G558" s="165">
        <v>3</v>
      </c>
      <c r="H558" s="161">
        <v>851.9</v>
      </c>
      <c r="I558" s="152">
        <v>850.58</v>
      </c>
      <c r="J558" s="161">
        <v>619.19000000000005</v>
      </c>
      <c r="K558" s="165">
        <v>43</v>
      </c>
      <c r="L558" s="161">
        <f>'виды работ '!C554</f>
        <v>6437278.2199999997</v>
      </c>
      <c r="M558" s="159">
        <v>0</v>
      </c>
      <c r="N558" s="159">
        <v>0</v>
      </c>
      <c r="O558" s="159">
        <v>0</v>
      </c>
      <c r="P558" s="159">
        <f>L558</f>
        <v>6437278.2199999997</v>
      </c>
      <c r="Q558" s="159">
        <f>L558/H558</f>
        <v>7556.3777673435852</v>
      </c>
      <c r="R558" s="161">
        <v>14593.7</v>
      </c>
      <c r="S558" s="4" t="s">
        <v>279</v>
      </c>
      <c r="T558" s="152" t="s">
        <v>231</v>
      </c>
      <c r="U558" s="139"/>
      <c r="V558" s="139">
        <f>L559-'виды работ '!C555</f>
        <v>0</v>
      </c>
    </row>
    <row r="559" spans="1:22" s="138" customFormat="1" ht="12.75" x14ac:dyDescent="0.2">
      <c r="A559" s="174" t="s">
        <v>18</v>
      </c>
      <c r="B559" s="174"/>
      <c r="C559" s="159" t="s">
        <v>222</v>
      </c>
      <c r="D559" s="159" t="s">
        <v>222</v>
      </c>
      <c r="E559" s="159" t="s">
        <v>222</v>
      </c>
      <c r="F559" s="160" t="s">
        <v>222</v>
      </c>
      <c r="G559" s="160" t="s">
        <v>222</v>
      </c>
      <c r="H559" s="161">
        <f t="shared" ref="H559:P559" si="163">SUM(H558:H558)</f>
        <v>851.9</v>
      </c>
      <c r="I559" s="161">
        <f t="shared" si="163"/>
        <v>850.58</v>
      </c>
      <c r="J559" s="161">
        <f t="shared" si="163"/>
        <v>619.19000000000005</v>
      </c>
      <c r="K559" s="165">
        <f t="shared" si="163"/>
        <v>43</v>
      </c>
      <c r="L559" s="161">
        <f>SUM(L558:L558)</f>
        <v>6437278.2199999997</v>
      </c>
      <c r="M559" s="161">
        <f t="shared" si="163"/>
        <v>0</v>
      </c>
      <c r="N559" s="161">
        <f t="shared" si="163"/>
        <v>0</v>
      </c>
      <c r="O559" s="161">
        <f t="shared" si="163"/>
        <v>0</v>
      </c>
      <c r="P559" s="161">
        <f t="shared" si="163"/>
        <v>6437278.2199999997</v>
      </c>
      <c r="Q559" s="159">
        <f>L559/H559</f>
        <v>7556.3777673435852</v>
      </c>
      <c r="R559" s="11" t="s">
        <v>222</v>
      </c>
      <c r="S559" s="11" t="s">
        <v>222</v>
      </c>
      <c r="T559" s="11" t="s">
        <v>222</v>
      </c>
      <c r="U559" s="139"/>
      <c r="V559" s="139">
        <f>L560-'виды работ '!C556</f>
        <v>0</v>
      </c>
    </row>
    <row r="560" spans="1:22" s="138" customFormat="1" ht="15.75" customHeight="1" x14ac:dyDescent="0.2">
      <c r="A560" s="173" t="s">
        <v>170</v>
      </c>
      <c r="B560" s="173"/>
      <c r="C560" s="173"/>
      <c r="D560" s="173"/>
      <c r="E560" s="173"/>
      <c r="F560" s="176"/>
      <c r="G560" s="176"/>
      <c r="H560" s="176"/>
      <c r="I560" s="176"/>
      <c r="J560" s="176"/>
      <c r="K560" s="176"/>
      <c r="L560" s="176"/>
      <c r="M560" s="176"/>
      <c r="N560" s="176"/>
      <c r="O560" s="176"/>
      <c r="P560" s="176"/>
      <c r="Q560" s="176"/>
      <c r="R560" s="176"/>
      <c r="S560" s="176"/>
      <c r="T560" s="176"/>
      <c r="U560" s="139"/>
      <c r="V560" s="139">
        <f>L561-'виды работ '!C557</f>
        <v>0</v>
      </c>
    </row>
    <row r="561" spans="1:22" s="138" customFormat="1" ht="12.75" x14ac:dyDescent="0.2">
      <c r="A561" s="165">
        <f>A558+1</f>
        <v>355</v>
      </c>
      <c r="B561" s="91" t="s">
        <v>487</v>
      </c>
      <c r="C561" s="153">
        <v>1964</v>
      </c>
      <c r="D561" s="153"/>
      <c r="E561" s="152" t="s">
        <v>219</v>
      </c>
      <c r="F561" s="153">
        <v>5</v>
      </c>
      <c r="G561" s="153">
        <v>4</v>
      </c>
      <c r="H561" s="153">
        <v>4728.3</v>
      </c>
      <c r="I561" s="68">
        <v>2563.8000000000002</v>
      </c>
      <c r="J561" s="153">
        <v>1967.71</v>
      </c>
      <c r="K561" s="153">
        <v>134</v>
      </c>
      <c r="L561" s="159">
        <f>'виды работ '!C557</f>
        <v>4762767.92</v>
      </c>
      <c r="M561" s="159">
        <v>0</v>
      </c>
      <c r="N561" s="159">
        <v>0</v>
      </c>
      <c r="O561" s="159">
        <v>0</v>
      </c>
      <c r="P561" s="159">
        <f>L561</f>
        <v>4762767.92</v>
      </c>
      <c r="Q561" s="159">
        <f>L561/H561</f>
        <v>1007.2897066598988</v>
      </c>
      <c r="R561" s="161">
        <v>14593.7</v>
      </c>
      <c r="S561" s="4" t="s">
        <v>279</v>
      </c>
      <c r="T561" s="152" t="s">
        <v>231</v>
      </c>
      <c r="U561" s="139"/>
      <c r="V561" s="139">
        <f>L562-'виды работ '!C558</f>
        <v>0</v>
      </c>
    </row>
    <row r="562" spans="1:22" s="138" customFormat="1" ht="12.75" x14ac:dyDescent="0.2">
      <c r="A562" s="165">
        <f>A561+1</f>
        <v>356</v>
      </c>
      <c r="B562" s="167" t="s">
        <v>595</v>
      </c>
      <c r="C562" s="13">
        <v>1965</v>
      </c>
      <c r="D562" s="159"/>
      <c r="E562" s="152" t="s">
        <v>219</v>
      </c>
      <c r="F562" s="160">
        <v>5</v>
      </c>
      <c r="G562" s="160">
        <v>6</v>
      </c>
      <c r="H562" s="159">
        <v>6235.9</v>
      </c>
      <c r="I562" s="159">
        <v>4713.8999999999996</v>
      </c>
      <c r="J562" s="159">
        <v>4054.78</v>
      </c>
      <c r="K562" s="160">
        <v>248</v>
      </c>
      <c r="L562" s="159">
        <f>'виды работ '!C558</f>
        <v>824973</v>
      </c>
      <c r="M562" s="159">
        <v>0</v>
      </c>
      <c r="N562" s="159">
        <v>0</v>
      </c>
      <c r="O562" s="159">
        <v>0</v>
      </c>
      <c r="P562" s="159">
        <f>L562</f>
        <v>824973</v>
      </c>
      <c r="Q562" s="159">
        <f>L562/H562</f>
        <v>132.29413556984557</v>
      </c>
      <c r="R562" s="161">
        <v>14593.7</v>
      </c>
      <c r="S562" s="4" t="s">
        <v>279</v>
      </c>
      <c r="T562" s="152" t="s">
        <v>231</v>
      </c>
      <c r="U562" s="139"/>
      <c r="V562" s="139">
        <f>L563-'виды работ '!C559</f>
        <v>0</v>
      </c>
    </row>
    <row r="563" spans="1:22" s="138" customFormat="1" ht="12.75" x14ac:dyDescent="0.2">
      <c r="A563" s="165">
        <f>A562+1</f>
        <v>357</v>
      </c>
      <c r="B563" s="167" t="s">
        <v>596</v>
      </c>
      <c r="C563" s="13">
        <v>1965</v>
      </c>
      <c r="D563" s="159"/>
      <c r="E563" s="152" t="s">
        <v>219</v>
      </c>
      <c r="F563" s="160">
        <v>5</v>
      </c>
      <c r="G563" s="160">
        <v>6</v>
      </c>
      <c r="H563" s="159">
        <v>6458.1</v>
      </c>
      <c r="I563" s="159">
        <v>4723.1000000000004</v>
      </c>
      <c r="J563" s="159">
        <v>4296.3900000000003</v>
      </c>
      <c r="K563" s="160">
        <v>201</v>
      </c>
      <c r="L563" s="159">
        <f>'виды работ '!C559</f>
        <v>824907.65</v>
      </c>
      <c r="M563" s="159">
        <v>0</v>
      </c>
      <c r="N563" s="159">
        <v>0</v>
      </c>
      <c r="O563" s="159">
        <v>0</v>
      </c>
      <c r="P563" s="159">
        <f>L563</f>
        <v>824907.65</v>
      </c>
      <c r="Q563" s="159">
        <f>L563/H563</f>
        <v>127.732250971648</v>
      </c>
      <c r="R563" s="161">
        <v>14593.7</v>
      </c>
      <c r="S563" s="4" t="s">
        <v>279</v>
      </c>
      <c r="T563" s="152" t="s">
        <v>231</v>
      </c>
      <c r="U563" s="139"/>
      <c r="V563" s="139">
        <f>L564-'виды работ '!C560</f>
        <v>0</v>
      </c>
    </row>
    <row r="564" spans="1:22" s="138" customFormat="1" ht="12.75" x14ac:dyDescent="0.2">
      <c r="A564" s="165">
        <f>A563+1</f>
        <v>358</v>
      </c>
      <c r="B564" s="91" t="s">
        <v>488</v>
      </c>
      <c r="C564" s="153">
        <v>1966</v>
      </c>
      <c r="D564" s="153"/>
      <c r="E564" s="152" t="s">
        <v>223</v>
      </c>
      <c r="F564" s="153">
        <v>5</v>
      </c>
      <c r="G564" s="153">
        <v>6</v>
      </c>
      <c r="H564" s="68">
        <v>6924.5</v>
      </c>
      <c r="I564" s="153">
        <v>5163.7</v>
      </c>
      <c r="J564" s="153">
        <v>4423.67</v>
      </c>
      <c r="K564" s="153">
        <v>269</v>
      </c>
      <c r="L564" s="159">
        <f>'виды работ '!C560</f>
        <v>6129920.6399999997</v>
      </c>
      <c r="M564" s="159">
        <v>0</v>
      </c>
      <c r="N564" s="159">
        <v>0</v>
      </c>
      <c r="O564" s="159">
        <v>0</v>
      </c>
      <c r="P564" s="159">
        <f t="shared" ref="P564:P576" si="164">L564</f>
        <v>6129920.6399999997</v>
      </c>
      <c r="Q564" s="159">
        <f t="shared" ref="Q564:Q577" si="165">L564/H564</f>
        <v>885.2510130695357</v>
      </c>
      <c r="R564" s="161">
        <v>14593.7</v>
      </c>
      <c r="S564" s="4" t="s">
        <v>279</v>
      </c>
      <c r="T564" s="152" t="s">
        <v>231</v>
      </c>
      <c r="U564" s="139"/>
      <c r="V564" s="139">
        <f>L565-'виды работ '!C561</f>
        <v>0</v>
      </c>
    </row>
    <row r="565" spans="1:22" s="138" customFormat="1" ht="12.75" x14ac:dyDescent="0.2">
      <c r="A565" s="165">
        <f t="shared" ref="A565:A576" si="166">A564+1</f>
        <v>359</v>
      </c>
      <c r="B565" s="91" t="s">
        <v>489</v>
      </c>
      <c r="C565" s="153">
        <v>1972</v>
      </c>
      <c r="D565" s="153"/>
      <c r="E565" s="152" t="s">
        <v>219</v>
      </c>
      <c r="F565" s="153">
        <v>2</v>
      </c>
      <c r="G565" s="153">
        <v>2</v>
      </c>
      <c r="H565" s="153">
        <v>743.32</v>
      </c>
      <c r="I565" s="153">
        <v>692.5</v>
      </c>
      <c r="J565" s="153">
        <v>604.70000000000005</v>
      </c>
      <c r="K565" s="153">
        <v>19</v>
      </c>
      <c r="L565" s="159">
        <f>'виды работ '!C561</f>
        <v>997730.12</v>
      </c>
      <c r="M565" s="159">
        <v>0</v>
      </c>
      <c r="N565" s="159">
        <v>0</v>
      </c>
      <c r="O565" s="159">
        <v>0</v>
      </c>
      <c r="P565" s="159">
        <f t="shared" si="164"/>
        <v>997730.12</v>
      </c>
      <c r="Q565" s="159">
        <f t="shared" si="165"/>
        <v>1342.2619060431575</v>
      </c>
      <c r="R565" s="161">
        <v>14593.7</v>
      </c>
      <c r="S565" s="4" t="s">
        <v>279</v>
      </c>
      <c r="T565" s="152" t="s">
        <v>231</v>
      </c>
      <c r="U565" s="139"/>
      <c r="V565" s="139">
        <f>L566-'виды работ '!C562</f>
        <v>0</v>
      </c>
    </row>
    <row r="566" spans="1:22" s="138" customFormat="1" ht="12.75" x14ac:dyDescent="0.2">
      <c r="A566" s="165">
        <f t="shared" si="166"/>
        <v>360</v>
      </c>
      <c r="B566" s="91" t="s">
        <v>490</v>
      </c>
      <c r="C566" s="153">
        <v>1970</v>
      </c>
      <c r="D566" s="153"/>
      <c r="E566" s="152" t="s">
        <v>219</v>
      </c>
      <c r="F566" s="153">
        <v>5</v>
      </c>
      <c r="G566" s="153">
        <v>6</v>
      </c>
      <c r="H566" s="7">
        <v>3986.7</v>
      </c>
      <c r="I566" s="153">
        <v>2820.5</v>
      </c>
      <c r="J566" s="153">
        <v>2485.6999999999998</v>
      </c>
      <c r="K566" s="153">
        <v>57</v>
      </c>
      <c r="L566" s="159">
        <f>'виды работ '!C562</f>
        <v>2460231.8199999998</v>
      </c>
      <c r="M566" s="159">
        <v>0</v>
      </c>
      <c r="N566" s="159">
        <v>0</v>
      </c>
      <c r="O566" s="159">
        <v>0</v>
      </c>
      <c r="P566" s="159">
        <f t="shared" si="164"/>
        <v>2460231.8199999998</v>
      </c>
      <c r="Q566" s="159">
        <f t="shared" si="165"/>
        <v>617.10984523540776</v>
      </c>
      <c r="R566" s="161">
        <v>14593.7</v>
      </c>
      <c r="S566" s="4" t="s">
        <v>279</v>
      </c>
      <c r="T566" s="152" t="s">
        <v>231</v>
      </c>
      <c r="U566" s="139"/>
      <c r="V566" s="139">
        <f>L567-'виды работ '!C563</f>
        <v>0</v>
      </c>
    </row>
    <row r="567" spans="1:22" s="138" customFormat="1" ht="12.75" x14ac:dyDescent="0.2">
      <c r="A567" s="165">
        <f t="shared" si="166"/>
        <v>361</v>
      </c>
      <c r="B567" s="91" t="s">
        <v>491</v>
      </c>
      <c r="C567" s="153">
        <v>1970</v>
      </c>
      <c r="D567" s="153"/>
      <c r="E567" s="152" t="s">
        <v>219</v>
      </c>
      <c r="F567" s="153">
        <v>5</v>
      </c>
      <c r="G567" s="153">
        <v>3</v>
      </c>
      <c r="H567" s="153">
        <v>4206.2</v>
      </c>
      <c r="I567" s="7">
        <v>2932.8</v>
      </c>
      <c r="J567" s="153">
        <v>2206.5500000000002</v>
      </c>
      <c r="K567" s="153">
        <v>244</v>
      </c>
      <c r="L567" s="159">
        <f>'виды работ '!C563</f>
        <v>8517021.1600000001</v>
      </c>
      <c r="M567" s="159">
        <v>0</v>
      </c>
      <c r="N567" s="159">
        <v>0</v>
      </c>
      <c r="O567" s="159">
        <v>0</v>
      </c>
      <c r="P567" s="159">
        <f t="shared" si="164"/>
        <v>8517021.1600000001</v>
      </c>
      <c r="Q567" s="159">
        <f t="shared" si="165"/>
        <v>2024.8730825923637</v>
      </c>
      <c r="R567" s="161">
        <v>14593.7</v>
      </c>
      <c r="S567" s="4" t="s">
        <v>279</v>
      </c>
      <c r="T567" s="152" t="s">
        <v>231</v>
      </c>
      <c r="U567" s="139"/>
      <c r="V567" s="139">
        <f>L568-'виды работ '!C564</f>
        <v>0</v>
      </c>
    </row>
    <row r="568" spans="1:22" s="138" customFormat="1" ht="12.75" x14ac:dyDescent="0.2">
      <c r="A568" s="165">
        <f t="shared" si="166"/>
        <v>362</v>
      </c>
      <c r="B568" s="91" t="s">
        <v>492</v>
      </c>
      <c r="C568" s="153">
        <v>1969</v>
      </c>
      <c r="D568" s="153"/>
      <c r="E568" s="152" t="s">
        <v>219</v>
      </c>
      <c r="F568" s="153">
        <v>5</v>
      </c>
      <c r="G568" s="153">
        <v>3</v>
      </c>
      <c r="H568" s="153">
        <v>4218.3999999999996</v>
      </c>
      <c r="I568" s="7">
        <v>3034.9</v>
      </c>
      <c r="J568" s="153">
        <v>2126.2199999999998</v>
      </c>
      <c r="K568" s="153">
        <v>256</v>
      </c>
      <c r="L568" s="159">
        <f>'виды работ '!C564</f>
        <v>3855157.2800000003</v>
      </c>
      <c r="M568" s="159">
        <v>0</v>
      </c>
      <c r="N568" s="159">
        <v>0</v>
      </c>
      <c r="O568" s="159">
        <v>0</v>
      </c>
      <c r="P568" s="159">
        <f t="shared" si="164"/>
        <v>3855157.2800000003</v>
      </c>
      <c r="Q568" s="159">
        <f t="shared" si="165"/>
        <v>913.8908780580316</v>
      </c>
      <c r="R568" s="161">
        <v>14593.7</v>
      </c>
      <c r="S568" s="4" t="s">
        <v>279</v>
      </c>
      <c r="T568" s="152" t="s">
        <v>231</v>
      </c>
      <c r="U568" s="139"/>
      <c r="V568" s="139">
        <f>L569-'виды работ '!C565</f>
        <v>0</v>
      </c>
    </row>
    <row r="569" spans="1:22" s="138" customFormat="1" ht="12.75" x14ac:dyDescent="0.2">
      <c r="A569" s="165">
        <f t="shared" si="166"/>
        <v>363</v>
      </c>
      <c r="B569" s="91" t="s">
        <v>493</v>
      </c>
      <c r="C569" s="153">
        <v>1972</v>
      </c>
      <c r="D569" s="153"/>
      <c r="E569" s="152" t="s">
        <v>219</v>
      </c>
      <c r="F569" s="153">
        <v>5</v>
      </c>
      <c r="G569" s="153">
        <v>3</v>
      </c>
      <c r="H569" s="153">
        <v>4059.3</v>
      </c>
      <c r="I569" s="7">
        <v>2979.6</v>
      </c>
      <c r="J569" s="153">
        <v>2242.3000000000002</v>
      </c>
      <c r="K569" s="153">
        <v>246</v>
      </c>
      <c r="L569" s="159">
        <f>'виды работ '!C565</f>
        <v>3502794.95</v>
      </c>
      <c r="M569" s="159">
        <v>0</v>
      </c>
      <c r="N569" s="159">
        <v>0</v>
      </c>
      <c r="O569" s="159">
        <v>0</v>
      </c>
      <c r="P569" s="159">
        <f>L569</f>
        <v>3502794.95</v>
      </c>
      <c r="Q569" s="159">
        <f>L569/H569</f>
        <v>862.90615377035454</v>
      </c>
      <c r="R569" s="161">
        <v>14593.7</v>
      </c>
      <c r="S569" s="4" t="s">
        <v>279</v>
      </c>
      <c r="T569" s="152" t="s">
        <v>231</v>
      </c>
      <c r="U569" s="139"/>
      <c r="V569" s="139">
        <f>L570-'виды работ '!C566</f>
        <v>0</v>
      </c>
    </row>
    <row r="570" spans="1:22" s="138" customFormat="1" ht="12.75" x14ac:dyDescent="0.2">
      <c r="A570" s="165">
        <f t="shared" si="166"/>
        <v>364</v>
      </c>
      <c r="B570" s="91" t="s">
        <v>494</v>
      </c>
      <c r="C570" s="9">
        <v>1916</v>
      </c>
      <c r="D570" s="153"/>
      <c r="E570" s="152" t="s">
        <v>219</v>
      </c>
      <c r="F570" s="9">
        <v>2</v>
      </c>
      <c r="G570" s="153">
        <v>2</v>
      </c>
      <c r="H570" s="68">
        <v>174.4</v>
      </c>
      <c r="I570" s="68">
        <v>174.4</v>
      </c>
      <c r="J570" s="153">
        <v>154</v>
      </c>
      <c r="K570" s="153">
        <v>8</v>
      </c>
      <c r="L570" s="159">
        <f>'виды работ '!C566</f>
        <v>358300</v>
      </c>
      <c r="M570" s="159">
        <v>0</v>
      </c>
      <c r="N570" s="159">
        <v>0</v>
      </c>
      <c r="O570" s="159">
        <v>0</v>
      </c>
      <c r="P570" s="159">
        <f>L570</f>
        <v>358300</v>
      </c>
      <c r="Q570" s="159">
        <f>L570/H570</f>
        <v>2054.4724770642201</v>
      </c>
      <c r="R570" s="161">
        <v>14593.7</v>
      </c>
      <c r="S570" s="4" t="s">
        <v>279</v>
      </c>
      <c r="T570" s="152" t="s">
        <v>231</v>
      </c>
      <c r="U570" s="139"/>
      <c r="V570" s="139">
        <f>L571-'виды работ '!C567</f>
        <v>0</v>
      </c>
    </row>
    <row r="571" spans="1:22" s="138" customFormat="1" ht="15.75" customHeight="1" x14ac:dyDescent="0.2">
      <c r="A571" s="165">
        <f t="shared" si="166"/>
        <v>365</v>
      </c>
      <c r="B571" s="155" t="s">
        <v>575</v>
      </c>
      <c r="C571" s="152">
        <v>1956</v>
      </c>
      <c r="D571" s="152"/>
      <c r="E571" s="152" t="s">
        <v>219</v>
      </c>
      <c r="F571" s="152">
        <v>2</v>
      </c>
      <c r="G571" s="152">
        <v>2</v>
      </c>
      <c r="H571" s="159">
        <v>666.11</v>
      </c>
      <c r="I571" s="159">
        <v>388.4</v>
      </c>
      <c r="J571" s="159">
        <v>91.9</v>
      </c>
      <c r="K571" s="160">
        <v>26</v>
      </c>
      <c r="L571" s="159">
        <f>'виды работ '!C567</f>
        <v>224930.12</v>
      </c>
      <c r="M571" s="159">
        <v>0</v>
      </c>
      <c r="N571" s="159">
        <v>0</v>
      </c>
      <c r="O571" s="159">
        <v>0</v>
      </c>
      <c r="P571" s="159">
        <f>L571</f>
        <v>224930.12</v>
      </c>
      <c r="Q571" s="159">
        <f>L571/H571</f>
        <v>337.67714041224423</v>
      </c>
      <c r="R571" s="161">
        <v>14593.7</v>
      </c>
      <c r="S571" s="4" t="s">
        <v>279</v>
      </c>
      <c r="T571" s="152" t="s">
        <v>231</v>
      </c>
      <c r="U571" s="139"/>
      <c r="V571" s="139">
        <f>L572-'виды работ '!C568</f>
        <v>0</v>
      </c>
    </row>
    <row r="572" spans="1:22" s="138" customFormat="1" ht="12.75" x14ac:dyDescent="0.2">
      <c r="A572" s="165">
        <f t="shared" si="166"/>
        <v>366</v>
      </c>
      <c r="B572" s="91" t="s">
        <v>495</v>
      </c>
      <c r="C572" s="153">
        <v>1961</v>
      </c>
      <c r="D572" s="153"/>
      <c r="E572" s="152" t="s">
        <v>219</v>
      </c>
      <c r="F572" s="153">
        <v>2</v>
      </c>
      <c r="G572" s="153">
        <v>2</v>
      </c>
      <c r="H572" s="68">
        <v>729.6</v>
      </c>
      <c r="I572" s="153">
        <v>653.9</v>
      </c>
      <c r="J572" s="153">
        <v>349.6</v>
      </c>
      <c r="K572" s="153">
        <v>32</v>
      </c>
      <c r="L572" s="159">
        <f>'виды работ '!C568</f>
        <v>2094105.88</v>
      </c>
      <c r="M572" s="159">
        <v>0</v>
      </c>
      <c r="N572" s="159">
        <v>0</v>
      </c>
      <c r="O572" s="159">
        <v>0</v>
      </c>
      <c r="P572" s="159">
        <f t="shared" si="164"/>
        <v>2094105.88</v>
      </c>
      <c r="Q572" s="159">
        <f t="shared" si="165"/>
        <v>2870.2109100877192</v>
      </c>
      <c r="R572" s="161">
        <v>14593.7</v>
      </c>
      <c r="S572" s="4" t="s">
        <v>279</v>
      </c>
      <c r="T572" s="152" t="s">
        <v>231</v>
      </c>
      <c r="U572" s="139"/>
      <c r="V572" s="139">
        <f>L573-'виды работ '!C569</f>
        <v>0</v>
      </c>
    </row>
    <row r="573" spans="1:22" s="138" customFormat="1" ht="12.75" x14ac:dyDescent="0.2">
      <c r="A573" s="165">
        <f t="shared" si="166"/>
        <v>367</v>
      </c>
      <c r="B573" s="91" t="s">
        <v>496</v>
      </c>
      <c r="C573" s="7">
        <v>1954</v>
      </c>
      <c r="D573" s="7"/>
      <c r="E573" s="152" t="s">
        <v>219</v>
      </c>
      <c r="F573" s="7">
        <v>2</v>
      </c>
      <c r="G573" s="7">
        <v>2</v>
      </c>
      <c r="H573" s="7">
        <v>737.83</v>
      </c>
      <c r="I573" s="9">
        <v>431.73</v>
      </c>
      <c r="J573" s="7">
        <v>205.8</v>
      </c>
      <c r="K573" s="7">
        <v>24</v>
      </c>
      <c r="L573" s="159">
        <f>'виды работ '!C569</f>
        <v>2064281.12</v>
      </c>
      <c r="M573" s="159">
        <v>0</v>
      </c>
      <c r="N573" s="159">
        <v>0</v>
      </c>
      <c r="O573" s="159">
        <v>0</v>
      </c>
      <c r="P573" s="159">
        <f t="shared" si="164"/>
        <v>2064281.12</v>
      </c>
      <c r="Q573" s="159">
        <f t="shared" si="165"/>
        <v>2797.7733624276593</v>
      </c>
      <c r="R573" s="161">
        <v>14593.7</v>
      </c>
      <c r="S573" s="4" t="s">
        <v>279</v>
      </c>
      <c r="T573" s="152" t="s">
        <v>231</v>
      </c>
      <c r="U573" s="139"/>
      <c r="V573" s="139">
        <f>L574-'виды работ '!C570</f>
        <v>0</v>
      </c>
    </row>
    <row r="574" spans="1:22" s="138" customFormat="1" ht="12.75" x14ac:dyDescent="0.2">
      <c r="A574" s="165">
        <f t="shared" si="166"/>
        <v>368</v>
      </c>
      <c r="B574" s="91" t="s">
        <v>497</v>
      </c>
      <c r="C574" s="7">
        <v>1927</v>
      </c>
      <c r="D574" s="7"/>
      <c r="E574" s="152" t="s">
        <v>219</v>
      </c>
      <c r="F574" s="7">
        <v>2</v>
      </c>
      <c r="G574" s="7">
        <v>1</v>
      </c>
      <c r="H574" s="34">
        <v>311</v>
      </c>
      <c r="I574" s="7">
        <v>283.89999999999998</v>
      </c>
      <c r="J574" s="7">
        <v>109.5</v>
      </c>
      <c r="K574" s="7">
        <v>25</v>
      </c>
      <c r="L574" s="159">
        <f>'виды работ '!C570</f>
        <v>1032837.66</v>
      </c>
      <c r="M574" s="159">
        <v>0</v>
      </c>
      <c r="N574" s="159">
        <v>0</v>
      </c>
      <c r="O574" s="159">
        <v>0</v>
      </c>
      <c r="P574" s="159">
        <f t="shared" si="164"/>
        <v>1032837.66</v>
      </c>
      <c r="Q574" s="159">
        <f t="shared" si="165"/>
        <v>3321.0214147909969</v>
      </c>
      <c r="R574" s="161">
        <v>14593.7</v>
      </c>
      <c r="S574" s="4" t="s">
        <v>279</v>
      </c>
      <c r="T574" s="152" t="s">
        <v>231</v>
      </c>
      <c r="U574" s="139"/>
      <c r="V574" s="139">
        <f>L575-'виды работ '!C571</f>
        <v>0</v>
      </c>
    </row>
    <row r="575" spans="1:22" s="138" customFormat="1" ht="12.75" x14ac:dyDescent="0.2">
      <c r="A575" s="165">
        <f t="shared" si="166"/>
        <v>369</v>
      </c>
      <c r="B575" s="91" t="s">
        <v>498</v>
      </c>
      <c r="C575" s="153">
        <v>1969</v>
      </c>
      <c r="D575" s="153"/>
      <c r="E575" s="152" t="s">
        <v>223</v>
      </c>
      <c r="F575" s="153">
        <v>5</v>
      </c>
      <c r="G575" s="153">
        <v>4</v>
      </c>
      <c r="H575" s="153">
        <v>3906.84</v>
      </c>
      <c r="I575" s="153">
        <v>3409.15</v>
      </c>
      <c r="J575" s="153">
        <v>1733.62</v>
      </c>
      <c r="K575" s="153">
        <v>86</v>
      </c>
      <c r="L575" s="159">
        <f>'виды работ '!C571</f>
        <v>3118758.69</v>
      </c>
      <c r="M575" s="159">
        <v>0</v>
      </c>
      <c r="N575" s="159">
        <v>0</v>
      </c>
      <c r="O575" s="159">
        <v>0</v>
      </c>
      <c r="P575" s="159">
        <f t="shared" si="164"/>
        <v>3118758.69</v>
      </c>
      <c r="Q575" s="159">
        <f t="shared" si="165"/>
        <v>798.28165217925482</v>
      </c>
      <c r="R575" s="161">
        <v>14593.7</v>
      </c>
      <c r="S575" s="4" t="s">
        <v>279</v>
      </c>
      <c r="T575" s="152" t="s">
        <v>231</v>
      </c>
      <c r="U575" s="139"/>
      <c r="V575" s="139">
        <f>L576-'виды работ '!C572</f>
        <v>0</v>
      </c>
    </row>
    <row r="576" spans="1:22" s="138" customFormat="1" ht="12.75" x14ac:dyDescent="0.2">
      <c r="A576" s="165">
        <f t="shared" si="166"/>
        <v>370</v>
      </c>
      <c r="B576" s="91" t="s">
        <v>499</v>
      </c>
      <c r="C576" s="153">
        <v>1984</v>
      </c>
      <c r="D576" s="153"/>
      <c r="E576" s="152" t="s">
        <v>223</v>
      </c>
      <c r="F576" s="153">
        <v>3</v>
      </c>
      <c r="G576" s="153">
        <v>4</v>
      </c>
      <c r="H576" s="153">
        <v>1694.5</v>
      </c>
      <c r="I576" s="153">
        <v>979.8</v>
      </c>
      <c r="J576" s="153">
        <v>775.7</v>
      </c>
      <c r="K576" s="153">
        <v>83</v>
      </c>
      <c r="L576" s="159">
        <f>'виды работ '!C572</f>
        <v>5765628.2000000002</v>
      </c>
      <c r="M576" s="159">
        <v>0</v>
      </c>
      <c r="N576" s="159">
        <v>0</v>
      </c>
      <c r="O576" s="159">
        <v>0</v>
      </c>
      <c r="P576" s="159">
        <f t="shared" si="164"/>
        <v>5765628.2000000002</v>
      </c>
      <c r="Q576" s="159">
        <f t="shared" si="165"/>
        <v>3402.5542637946296</v>
      </c>
      <c r="R576" s="161">
        <v>14593.7</v>
      </c>
      <c r="S576" s="4" t="s">
        <v>279</v>
      </c>
      <c r="T576" s="152" t="s">
        <v>231</v>
      </c>
      <c r="U576" s="139"/>
      <c r="V576" s="139">
        <f>L577-'виды работ '!C573</f>
        <v>0</v>
      </c>
    </row>
    <row r="577" spans="1:22" s="138" customFormat="1" ht="12.75" x14ac:dyDescent="0.2">
      <c r="A577" s="174" t="s">
        <v>18</v>
      </c>
      <c r="B577" s="174"/>
      <c r="C577" s="159" t="s">
        <v>222</v>
      </c>
      <c r="D577" s="159" t="s">
        <v>222</v>
      </c>
      <c r="E577" s="159" t="s">
        <v>222</v>
      </c>
      <c r="F577" s="160" t="s">
        <v>222</v>
      </c>
      <c r="G577" s="160" t="s">
        <v>222</v>
      </c>
      <c r="H577" s="161">
        <f t="shared" ref="H577:P577" si="167">SUM(H561:H576)</f>
        <v>49781.000000000015</v>
      </c>
      <c r="I577" s="161">
        <f t="shared" si="167"/>
        <v>35946.080000000009</v>
      </c>
      <c r="J577" s="161">
        <f t="shared" si="167"/>
        <v>27828.14</v>
      </c>
      <c r="K577" s="165">
        <f t="shared" si="167"/>
        <v>1958</v>
      </c>
      <c r="L577" s="161">
        <f t="shared" si="167"/>
        <v>46534346.210000001</v>
      </c>
      <c r="M577" s="161">
        <f t="shared" si="167"/>
        <v>0</v>
      </c>
      <c r="N577" s="161">
        <f t="shared" si="167"/>
        <v>0</v>
      </c>
      <c r="O577" s="161">
        <f t="shared" si="167"/>
        <v>0</v>
      </c>
      <c r="P577" s="161">
        <f t="shared" si="167"/>
        <v>46534346.210000001</v>
      </c>
      <c r="Q577" s="159">
        <f t="shared" si="165"/>
        <v>934.78126614571795</v>
      </c>
      <c r="R577" s="11" t="s">
        <v>222</v>
      </c>
      <c r="S577" s="11" t="s">
        <v>222</v>
      </c>
      <c r="T577" s="11" t="s">
        <v>222</v>
      </c>
      <c r="U577" s="139"/>
      <c r="V577" s="139">
        <f>L578-'виды работ '!C574</f>
        <v>0</v>
      </c>
    </row>
    <row r="578" spans="1:22" s="138" customFormat="1" ht="15.75" customHeight="1" x14ac:dyDescent="0.2">
      <c r="A578" s="173" t="s">
        <v>171</v>
      </c>
      <c r="B578" s="173"/>
      <c r="C578" s="173"/>
      <c r="D578" s="173"/>
      <c r="E578" s="173"/>
      <c r="F578" s="176"/>
      <c r="G578" s="176"/>
      <c r="H578" s="176"/>
      <c r="I578" s="176"/>
      <c r="J578" s="176"/>
      <c r="K578" s="176"/>
      <c r="L578" s="176"/>
      <c r="M578" s="176"/>
      <c r="N578" s="176"/>
      <c r="O578" s="176"/>
      <c r="P578" s="176"/>
      <c r="Q578" s="176"/>
      <c r="R578" s="176"/>
      <c r="S578" s="176"/>
      <c r="T578" s="176"/>
      <c r="U578" s="139"/>
      <c r="V578" s="139">
        <f>L579-'виды работ '!C575</f>
        <v>0</v>
      </c>
    </row>
    <row r="579" spans="1:22" s="138" customFormat="1" ht="15.75" customHeight="1" x14ac:dyDescent="0.2">
      <c r="A579" s="160">
        <f>A576+1</f>
        <v>371</v>
      </c>
      <c r="B579" s="155" t="s">
        <v>578</v>
      </c>
      <c r="C579" s="152">
        <v>1982</v>
      </c>
      <c r="D579" s="152"/>
      <c r="E579" s="152" t="s">
        <v>223</v>
      </c>
      <c r="F579" s="152">
        <v>2</v>
      </c>
      <c r="G579" s="152">
        <v>3</v>
      </c>
      <c r="H579" s="159">
        <v>814.4</v>
      </c>
      <c r="I579" s="159">
        <v>814.4</v>
      </c>
      <c r="J579" s="159">
        <v>428.7</v>
      </c>
      <c r="K579" s="160">
        <v>35</v>
      </c>
      <c r="L579" s="161">
        <f>'виды работ '!C575</f>
        <v>919065.73</v>
      </c>
      <c r="M579" s="159">
        <v>0</v>
      </c>
      <c r="N579" s="159">
        <v>0</v>
      </c>
      <c r="O579" s="159">
        <v>0</v>
      </c>
      <c r="P579" s="159">
        <f t="shared" ref="P579:P587" si="168">L579</f>
        <v>919065.73</v>
      </c>
      <c r="Q579" s="159">
        <f t="shared" ref="Q579:Q589" si="169">L579/H579</f>
        <v>1128.5188236738704</v>
      </c>
      <c r="R579" s="161">
        <v>14593.7</v>
      </c>
      <c r="S579" s="4" t="s">
        <v>279</v>
      </c>
      <c r="T579" s="152" t="s">
        <v>231</v>
      </c>
      <c r="U579" s="139"/>
      <c r="V579" s="139">
        <f>L580-'виды работ '!C576</f>
        <v>0</v>
      </c>
    </row>
    <row r="580" spans="1:22" s="138" customFormat="1" ht="12.75" x14ac:dyDescent="0.2">
      <c r="A580" s="160">
        <f>A579+1</f>
        <v>372</v>
      </c>
      <c r="B580" s="91" t="s">
        <v>500</v>
      </c>
      <c r="C580" s="31">
        <v>1967</v>
      </c>
      <c r="D580" s="31"/>
      <c r="E580" s="152" t="s">
        <v>219</v>
      </c>
      <c r="F580" s="31">
        <v>2</v>
      </c>
      <c r="G580" s="31">
        <v>2</v>
      </c>
      <c r="H580" s="31">
        <v>505.18</v>
      </c>
      <c r="I580" s="31">
        <v>505.18</v>
      </c>
      <c r="J580" s="31">
        <v>233.54</v>
      </c>
      <c r="K580" s="31">
        <v>24</v>
      </c>
      <c r="L580" s="159">
        <f>'виды работ '!C576</f>
        <v>4323694.6400000006</v>
      </c>
      <c r="M580" s="159">
        <v>0</v>
      </c>
      <c r="N580" s="159">
        <v>0</v>
      </c>
      <c r="O580" s="159">
        <v>0</v>
      </c>
      <c r="P580" s="161">
        <f t="shared" si="168"/>
        <v>4323694.6400000006</v>
      </c>
      <c r="Q580" s="159">
        <f t="shared" si="169"/>
        <v>8558.7209311532533</v>
      </c>
      <c r="R580" s="161">
        <v>14593.7</v>
      </c>
      <c r="S580" s="4" t="s">
        <v>279</v>
      </c>
      <c r="T580" s="152" t="s">
        <v>231</v>
      </c>
      <c r="U580" s="139"/>
      <c r="V580" s="139">
        <f>L581-'виды работ '!C577</f>
        <v>0</v>
      </c>
    </row>
    <row r="581" spans="1:22" s="138" customFormat="1" ht="16.5" customHeight="1" x14ac:dyDescent="0.2">
      <c r="A581" s="160">
        <f t="shared" ref="A581:A587" si="170">A580+1</f>
        <v>373</v>
      </c>
      <c r="B581" s="155" t="s">
        <v>579</v>
      </c>
      <c r="C581" s="152">
        <v>1960</v>
      </c>
      <c r="D581" s="152"/>
      <c r="E581" s="152" t="s">
        <v>255</v>
      </c>
      <c r="F581" s="152">
        <v>2</v>
      </c>
      <c r="G581" s="152">
        <v>1</v>
      </c>
      <c r="H581" s="159">
        <v>395.08</v>
      </c>
      <c r="I581" s="159">
        <v>376.15</v>
      </c>
      <c r="J581" s="159">
        <v>110.15</v>
      </c>
      <c r="K581" s="160">
        <v>14</v>
      </c>
      <c r="L581" s="161">
        <f>'виды работ '!C577</f>
        <v>294582.96000000002</v>
      </c>
      <c r="M581" s="159">
        <v>0</v>
      </c>
      <c r="N581" s="159">
        <v>0</v>
      </c>
      <c r="O581" s="159">
        <v>0</v>
      </c>
      <c r="P581" s="159">
        <f t="shared" si="168"/>
        <v>294582.96000000002</v>
      </c>
      <c r="Q581" s="159">
        <f t="shared" si="169"/>
        <v>745.62863217576194</v>
      </c>
      <c r="R581" s="161">
        <v>14593.7</v>
      </c>
      <c r="S581" s="4" t="s">
        <v>279</v>
      </c>
      <c r="T581" s="152" t="s">
        <v>231</v>
      </c>
      <c r="U581" s="139"/>
      <c r="V581" s="139">
        <f>L582-'виды работ '!C578</f>
        <v>0</v>
      </c>
    </row>
    <row r="582" spans="1:22" s="138" customFormat="1" ht="15.75" customHeight="1" x14ac:dyDescent="0.2">
      <c r="A582" s="160">
        <f t="shared" si="170"/>
        <v>374</v>
      </c>
      <c r="B582" s="155" t="s">
        <v>580</v>
      </c>
      <c r="C582" s="152">
        <v>1963</v>
      </c>
      <c r="D582" s="152"/>
      <c r="E582" s="152" t="s">
        <v>255</v>
      </c>
      <c r="F582" s="152">
        <v>2</v>
      </c>
      <c r="G582" s="152">
        <v>1</v>
      </c>
      <c r="H582" s="159">
        <v>327.97</v>
      </c>
      <c r="I582" s="159">
        <v>327.97</v>
      </c>
      <c r="J582" s="159">
        <v>76.819999999999993</v>
      </c>
      <c r="K582" s="160">
        <v>12</v>
      </c>
      <c r="L582" s="161">
        <f>'виды работ '!C578</f>
        <v>276781.06</v>
      </c>
      <c r="M582" s="159">
        <v>0</v>
      </c>
      <c r="N582" s="159">
        <v>0</v>
      </c>
      <c r="O582" s="159">
        <v>0</v>
      </c>
      <c r="P582" s="159">
        <f t="shared" si="168"/>
        <v>276781.06</v>
      </c>
      <c r="Q582" s="159">
        <f t="shared" si="169"/>
        <v>843.92188309906385</v>
      </c>
      <c r="R582" s="161">
        <v>14593.7</v>
      </c>
      <c r="S582" s="4" t="s">
        <v>279</v>
      </c>
      <c r="T582" s="152" t="s">
        <v>231</v>
      </c>
      <c r="U582" s="139"/>
      <c r="V582" s="139">
        <f>L583-'виды работ '!C579</f>
        <v>0</v>
      </c>
    </row>
    <row r="583" spans="1:22" s="138" customFormat="1" ht="15.75" customHeight="1" x14ac:dyDescent="0.2">
      <c r="A583" s="160">
        <f t="shared" si="170"/>
        <v>375</v>
      </c>
      <c r="B583" s="155" t="s">
        <v>576</v>
      </c>
      <c r="C583" s="152">
        <v>1973</v>
      </c>
      <c r="D583" s="152"/>
      <c r="E583" s="152" t="s">
        <v>219</v>
      </c>
      <c r="F583" s="152">
        <v>2</v>
      </c>
      <c r="G583" s="152">
        <v>2</v>
      </c>
      <c r="H583" s="159">
        <v>724.1</v>
      </c>
      <c r="I583" s="159">
        <v>724.1</v>
      </c>
      <c r="J583" s="159">
        <v>531.79999999999995</v>
      </c>
      <c r="K583" s="160">
        <v>32</v>
      </c>
      <c r="L583" s="161">
        <f>'виды работ '!C579</f>
        <v>2241680</v>
      </c>
      <c r="M583" s="159">
        <v>0</v>
      </c>
      <c r="N583" s="159">
        <v>0</v>
      </c>
      <c r="O583" s="159">
        <v>0</v>
      </c>
      <c r="P583" s="159">
        <f t="shared" si="168"/>
        <v>2241680</v>
      </c>
      <c r="Q583" s="159">
        <f t="shared" si="169"/>
        <v>3095.8154950973621</v>
      </c>
      <c r="R583" s="161">
        <v>14593.7</v>
      </c>
      <c r="S583" s="4" t="s">
        <v>279</v>
      </c>
      <c r="T583" s="152" t="s">
        <v>231</v>
      </c>
      <c r="U583" s="139"/>
      <c r="V583" s="139">
        <f>L584-'виды работ '!C580</f>
        <v>0</v>
      </c>
    </row>
    <row r="584" spans="1:22" s="138" customFormat="1" ht="15.75" customHeight="1" x14ac:dyDescent="0.2">
      <c r="A584" s="160">
        <f t="shared" si="170"/>
        <v>376</v>
      </c>
      <c r="B584" s="155" t="s">
        <v>577</v>
      </c>
      <c r="C584" s="152">
        <v>1935</v>
      </c>
      <c r="D584" s="152"/>
      <c r="E584" s="152" t="s">
        <v>255</v>
      </c>
      <c r="F584" s="152">
        <v>2</v>
      </c>
      <c r="G584" s="152">
        <v>2</v>
      </c>
      <c r="H584" s="159">
        <v>230.7</v>
      </c>
      <c r="I584" s="159">
        <v>230.7</v>
      </c>
      <c r="J584" s="159">
        <v>91.2</v>
      </c>
      <c r="K584" s="160">
        <v>16</v>
      </c>
      <c r="L584" s="161">
        <f>'виды работ '!C580</f>
        <v>1429775</v>
      </c>
      <c r="M584" s="159">
        <v>0</v>
      </c>
      <c r="N584" s="159">
        <v>0</v>
      </c>
      <c r="O584" s="159">
        <v>0</v>
      </c>
      <c r="P584" s="159">
        <f t="shared" si="168"/>
        <v>1429775</v>
      </c>
      <c r="Q584" s="159">
        <f t="shared" si="169"/>
        <v>6197.5509319462508</v>
      </c>
      <c r="R584" s="161">
        <v>14593.7</v>
      </c>
      <c r="S584" s="4" t="s">
        <v>279</v>
      </c>
      <c r="T584" s="152" t="s">
        <v>231</v>
      </c>
      <c r="U584" s="139"/>
      <c r="V584" s="139">
        <f>L585-'виды работ '!C581</f>
        <v>0</v>
      </c>
    </row>
    <row r="585" spans="1:22" s="138" customFormat="1" ht="12.75" x14ac:dyDescent="0.2">
      <c r="A585" s="160">
        <f t="shared" si="170"/>
        <v>377</v>
      </c>
      <c r="B585" s="91" t="s">
        <v>172</v>
      </c>
      <c r="C585" s="31">
        <v>1948</v>
      </c>
      <c r="D585" s="31"/>
      <c r="E585" s="152" t="s">
        <v>255</v>
      </c>
      <c r="F585" s="31">
        <v>2</v>
      </c>
      <c r="G585" s="31">
        <v>2</v>
      </c>
      <c r="H585" s="9">
        <v>292.2</v>
      </c>
      <c r="I585" s="31">
        <v>254.7</v>
      </c>
      <c r="J585" s="31">
        <v>162.68</v>
      </c>
      <c r="K585" s="31">
        <v>16</v>
      </c>
      <c r="L585" s="161">
        <f>'виды работ '!C581</f>
        <v>2758294</v>
      </c>
      <c r="M585" s="159">
        <v>0</v>
      </c>
      <c r="N585" s="159">
        <v>0</v>
      </c>
      <c r="O585" s="159">
        <v>0</v>
      </c>
      <c r="P585" s="161">
        <f t="shared" si="168"/>
        <v>2758294</v>
      </c>
      <c r="Q585" s="159">
        <f t="shared" si="169"/>
        <v>9439.7467488021903</v>
      </c>
      <c r="R585" s="161">
        <v>14593.7</v>
      </c>
      <c r="S585" s="4" t="s">
        <v>279</v>
      </c>
      <c r="T585" s="152" t="s">
        <v>231</v>
      </c>
      <c r="U585" s="139"/>
      <c r="V585" s="139">
        <f>L586-'виды работ '!C582</f>
        <v>0</v>
      </c>
    </row>
    <row r="586" spans="1:22" s="138" customFormat="1" ht="12.75" x14ac:dyDescent="0.2">
      <c r="A586" s="160">
        <f t="shared" si="170"/>
        <v>378</v>
      </c>
      <c r="B586" s="91" t="s">
        <v>173</v>
      </c>
      <c r="C586" s="31">
        <v>1964</v>
      </c>
      <c r="D586" s="31"/>
      <c r="E586" s="152" t="s">
        <v>255</v>
      </c>
      <c r="F586" s="31">
        <v>2</v>
      </c>
      <c r="G586" s="31">
        <v>1</v>
      </c>
      <c r="H586" s="31">
        <v>351.9</v>
      </c>
      <c r="I586" s="31">
        <v>351.9</v>
      </c>
      <c r="J586" s="31">
        <v>48.1</v>
      </c>
      <c r="K586" s="31">
        <v>9</v>
      </c>
      <c r="L586" s="161">
        <f>'виды работ '!C582</f>
        <v>1161824</v>
      </c>
      <c r="M586" s="159">
        <v>0</v>
      </c>
      <c r="N586" s="159">
        <v>0</v>
      </c>
      <c r="O586" s="159">
        <v>0</v>
      </c>
      <c r="P586" s="161">
        <f t="shared" si="168"/>
        <v>1161824</v>
      </c>
      <c r="Q586" s="159">
        <f t="shared" si="169"/>
        <v>3301.5743108837742</v>
      </c>
      <c r="R586" s="161">
        <v>14593.7</v>
      </c>
      <c r="S586" s="4" t="s">
        <v>279</v>
      </c>
      <c r="T586" s="152" t="s">
        <v>231</v>
      </c>
      <c r="U586" s="139"/>
      <c r="V586" s="139">
        <f>L587-'виды работ '!C583</f>
        <v>0</v>
      </c>
    </row>
    <row r="587" spans="1:22" s="138" customFormat="1" ht="12.75" x14ac:dyDescent="0.2">
      <c r="A587" s="160">
        <f t="shared" si="170"/>
        <v>379</v>
      </c>
      <c r="B587" s="91" t="s">
        <v>501</v>
      </c>
      <c r="C587" s="31">
        <v>1940</v>
      </c>
      <c r="D587" s="31"/>
      <c r="E587" s="152" t="s">
        <v>255</v>
      </c>
      <c r="F587" s="31">
        <v>2</v>
      </c>
      <c r="G587" s="31">
        <v>1</v>
      </c>
      <c r="H587" s="31">
        <v>256</v>
      </c>
      <c r="I587" s="31">
        <v>256</v>
      </c>
      <c r="J587" s="31">
        <v>71.099999999999994</v>
      </c>
      <c r="K587" s="31">
        <v>9</v>
      </c>
      <c r="L587" s="161">
        <f>'виды работ '!C583</f>
        <v>1090152</v>
      </c>
      <c r="M587" s="159">
        <v>0</v>
      </c>
      <c r="N587" s="159">
        <v>0</v>
      </c>
      <c r="O587" s="159">
        <v>0</v>
      </c>
      <c r="P587" s="161">
        <f t="shared" si="168"/>
        <v>1090152</v>
      </c>
      <c r="Q587" s="159">
        <f t="shared" si="169"/>
        <v>4258.40625</v>
      </c>
      <c r="R587" s="161">
        <v>14593.7</v>
      </c>
      <c r="S587" s="4" t="s">
        <v>279</v>
      </c>
      <c r="T587" s="152" t="s">
        <v>231</v>
      </c>
      <c r="U587" s="139"/>
      <c r="V587" s="139">
        <f>L588-'виды работ '!C584</f>
        <v>0</v>
      </c>
    </row>
    <row r="588" spans="1:22" s="138" customFormat="1" ht="12.75" x14ac:dyDescent="0.2">
      <c r="A588" s="174" t="s">
        <v>18</v>
      </c>
      <c r="B588" s="174"/>
      <c r="C588" s="159" t="s">
        <v>222</v>
      </c>
      <c r="D588" s="159" t="s">
        <v>222</v>
      </c>
      <c r="E588" s="159" t="s">
        <v>222</v>
      </c>
      <c r="F588" s="159" t="s">
        <v>222</v>
      </c>
      <c r="G588" s="159" t="s">
        <v>222</v>
      </c>
      <c r="H588" s="161">
        <f t="shared" ref="H588:P588" si="171">SUM(H579:H587)</f>
        <v>3897.5299999999997</v>
      </c>
      <c r="I588" s="161">
        <f t="shared" si="171"/>
        <v>3841.1</v>
      </c>
      <c r="J588" s="161">
        <f t="shared" si="171"/>
        <v>1754.09</v>
      </c>
      <c r="K588" s="165">
        <f t="shared" si="171"/>
        <v>167</v>
      </c>
      <c r="L588" s="161">
        <f t="shared" si="171"/>
        <v>14495849.390000001</v>
      </c>
      <c r="M588" s="161">
        <f t="shared" si="171"/>
        <v>0</v>
      </c>
      <c r="N588" s="161">
        <f t="shared" si="171"/>
        <v>0</v>
      </c>
      <c r="O588" s="161">
        <f t="shared" si="171"/>
        <v>0</v>
      </c>
      <c r="P588" s="161">
        <f t="shared" si="171"/>
        <v>14495849.390000001</v>
      </c>
      <c r="Q588" s="159">
        <f t="shared" si="169"/>
        <v>3719.2399776268562</v>
      </c>
      <c r="R588" s="11" t="s">
        <v>222</v>
      </c>
      <c r="S588" s="11" t="s">
        <v>222</v>
      </c>
      <c r="T588" s="11" t="s">
        <v>222</v>
      </c>
      <c r="U588" s="237"/>
      <c r="V588" s="139">
        <f>L589-'виды работ '!C585</f>
        <v>0</v>
      </c>
    </row>
    <row r="589" spans="1:22" s="230" customFormat="1" ht="12.75" x14ac:dyDescent="0.2">
      <c r="A589" s="173" t="s">
        <v>174</v>
      </c>
      <c r="B589" s="173"/>
      <c r="C589" s="173"/>
      <c r="D589" s="158" t="s">
        <v>222</v>
      </c>
      <c r="E589" s="158" t="s">
        <v>222</v>
      </c>
      <c r="F589" s="158" t="s">
        <v>222</v>
      </c>
      <c r="G589" s="158" t="s">
        <v>222</v>
      </c>
      <c r="H589" s="166">
        <f t="shared" ref="H589:P589" si="172">H553+H556+H559+H577+H588</f>
        <v>56142.950000000012</v>
      </c>
      <c r="I589" s="166">
        <f t="shared" si="172"/>
        <v>42250.280000000006</v>
      </c>
      <c r="J589" s="166">
        <f t="shared" si="172"/>
        <v>30883.06</v>
      </c>
      <c r="K589" s="166">
        <f t="shared" si="172"/>
        <v>2261</v>
      </c>
      <c r="L589" s="166">
        <f t="shared" si="172"/>
        <v>72449013.849999994</v>
      </c>
      <c r="M589" s="166">
        <f t="shared" si="172"/>
        <v>0</v>
      </c>
      <c r="N589" s="166">
        <f t="shared" si="172"/>
        <v>0</v>
      </c>
      <c r="O589" s="166">
        <f t="shared" si="172"/>
        <v>0</v>
      </c>
      <c r="P589" s="166">
        <f t="shared" si="172"/>
        <v>72449013.849999994</v>
      </c>
      <c r="Q589" s="158">
        <f t="shared" si="169"/>
        <v>1290.4383159417162</v>
      </c>
      <c r="R589" s="17" t="s">
        <v>222</v>
      </c>
      <c r="S589" s="17" t="s">
        <v>222</v>
      </c>
      <c r="T589" s="17" t="s">
        <v>222</v>
      </c>
      <c r="U589" s="166"/>
      <c r="V589" s="139">
        <f>L590-'виды работ '!C586</f>
        <v>0</v>
      </c>
    </row>
    <row r="590" spans="1:22" s="138" customFormat="1" ht="15" customHeight="1" x14ac:dyDescent="0.2">
      <c r="A590" s="175" t="s">
        <v>601</v>
      </c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240"/>
      <c r="V590" s="139">
        <f>L591-'виды работ '!C587</f>
        <v>0</v>
      </c>
    </row>
    <row r="591" spans="1:22" s="138" customFormat="1" ht="15" customHeight="1" x14ac:dyDescent="0.2">
      <c r="A591" s="169" t="s">
        <v>593</v>
      </c>
      <c r="B591" s="169"/>
      <c r="C591" s="169"/>
      <c r="D591" s="169"/>
      <c r="E591" s="169"/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240"/>
      <c r="V591" s="139">
        <f>L592-'виды работ '!C588</f>
        <v>0</v>
      </c>
    </row>
    <row r="592" spans="1:22" s="138" customFormat="1" ht="15" customHeight="1" x14ac:dyDescent="0.2">
      <c r="A592" s="160">
        <f>A587+1</f>
        <v>380</v>
      </c>
      <c r="B592" s="92" t="s">
        <v>594</v>
      </c>
      <c r="C592" s="153">
        <v>1968</v>
      </c>
      <c r="D592" s="7"/>
      <c r="E592" s="152" t="s">
        <v>219</v>
      </c>
      <c r="F592" s="153">
        <v>5</v>
      </c>
      <c r="G592" s="93">
        <v>7</v>
      </c>
      <c r="H592" s="161">
        <v>3563</v>
      </c>
      <c r="I592" s="161">
        <v>374.64</v>
      </c>
      <c r="J592" s="161">
        <v>2352</v>
      </c>
      <c r="K592" s="153">
        <v>223</v>
      </c>
      <c r="L592" s="159">
        <f>'виды работ '!C588</f>
        <v>530618.80000000005</v>
      </c>
      <c r="M592" s="159">
        <v>0</v>
      </c>
      <c r="N592" s="159">
        <v>0</v>
      </c>
      <c r="O592" s="159">
        <v>0</v>
      </c>
      <c r="P592" s="161">
        <f>L592</f>
        <v>530618.80000000005</v>
      </c>
      <c r="Q592" s="159">
        <f>L592/H592</f>
        <v>148.92472635419591</v>
      </c>
      <c r="R592" s="161">
        <v>14593.7</v>
      </c>
      <c r="S592" s="4" t="s">
        <v>279</v>
      </c>
      <c r="T592" s="152" t="s">
        <v>231</v>
      </c>
      <c r="U592" s="240"/>
      <c r="V592" s="139">
        <f>L593-'виды работ '!C589</f>
        <v>0</v>
      </c>
    </row>
    <row r="593" spans="1:22" s="138" customFormat="1" ht="15" customHeight="1" x14ac:dyDescent="0.2">
      <c r="A593" s="174" t="s">
        <v>18</v>
      </c>
      <c r="B593" s="174"/>
      <c r="C593" s="159" t="s">
        <v>222</v>
      </c>
      <c r="D593" s="159" t="s">
        <v>222</v>
      </c>
      <c r="E593" s="159" t="s">
        <v>222</v>
      </c>
      <c r="F593" s="159" t="s">
        <v>222</v>
      </c>
      <c r="G593" s="159" t="s">
        <v>222</v>
      </c>
      <c r="H593" s="159">
        <f>SUM(H592)</f>
        <v>3563</v>
      </c>
      <c r="I593" s="159">
        <f t="shared" ref="I593:P593" si="173">SUM(I592)</f>
        <v>374.64</v>
      </c>
      <c r="J593" s="159">
        <f t="shared" si="173"/>
        <v>2352</v>
      </c>
      <c r="K593" s="160">
        <f t="shared" si="173"/>
        <v>223</v>
      </c>
      <c r="L593" s="159">
        <f t="shared" si="173"/>
        <v>530618.80000000005</v>
      </c>
      <c r="M593" s="159">
        <f t="shared" si="173"/>
        <v>0</v>
      </c>
      <c r="N593" s="159">
        <f t="shared" si="173"/>
        <v>0</v>
      </c>
      <c r="O593" s="159">
        <f t="shared" si="173"/>
        <v>0</v>
      </c>
      <c r="P593" s="159">
        <f t="shared" si="173"/>
        <v>530618.80000000005</v>
      </c>
      <c r="Q593" s="159">
        <f>L593/H593</f>
        <v>148.92472635419591</v>
      </c>
      <c r="R593" s="11" t="s">
        <v>222</v>
      </c>
      <c r="S593" s="11" t="s">
        <v>222</v>
      </c>
      <c r="T593" s="11" t="s">
        <v>222</v>
      </c>
      <c r="U593" s="240"/>
      <c r="V593" s="139">
        <f>L594-'виды работ '!C590</f>
        <v>0</v>
      </c>
    </row>
    <row r="594" spans="1:22" s="138" customFormat="1" ht="15.75" customHeight="1" x14ac:dyDescent="0.2">
      <c r="A594" s="169" t="s">
        <v>87</v>
      </c>
      <c r="B594" s="169"/>
      <c r="C594" s="169"/>
      <c r="D594" s="169"/>
      <c r="E594" s="169"/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  <c r="S594" s="172"/>
      <c r="T594" s="172"/>
      <c r="U594" s="238"/>
      <c r="V594" s="139">
        <f>L595-'виды работ '!C591</f>
        <v>0</v>
      </c>
    </row>
    <row r="595" spans="1:22" s="138" customFormat="1" ht="12.75" x14ac:dyDescent="0.2">
      <c r="A595" s="165">
        <f>A592+1</f>
        <v>381</v>
      </c>
      <c r="B595" s="94" t="s">
        <v>106</v>
      </c>
      <c r="C595" s="12">
        <v>1970</v>
      </c>
      <c r="D595" s="161"/>
      <c r="E595" s="152" t="s">
        <v>219</v>
      </c>
      <c r="F595" s="165">
        <v>5</v>
      </c>
      <c r="G595" s="165">
        <v>2</v>
      </c>
      <c r="H595" s="161">
        <v>4678.8999999999996</v>
      </c>
      <c r="I595" s="161">
        <v>4494.8999999999996</v>
      </c>
      <c r="J595" s="161">
        <v>2376.6</v>
      </c>
      <c r="K595" s="165">
        <v>330</v>
      </c>
      <c r="L595" s="161">
        <f>'виды работ '!C591</f>
        <v>2793634.31</v>
      </c>
      <c r="M595" s="159">
        <v>0</v>
      </c>
      <c r="N595" s="159">
        <v>0</v>
      </c>
      <c r="O595" s="159">
        <v>0</v>
      </c>
      <c r="P595" s="161">
        <f>L595</f>
        <v>2793634.31</v>
      </c>
      <c r="Q595" s="159">
        <f>L595/H595</f>
        <v>597.0707452606382</v>
      </c>
      <c r="R595" s="161">
        <v>14593.7</v>
      </c>
      <c r="S595" s="4" t="s">
        <v>279</v>
      </c>
      <c r="T595" s="152" t="s">
        <v>231</v>
      </c>
      <c r="V595" s="139">
        <f>L596-'виды работ '!C592</f>
        <v>0</v>
      </c>
    </row>
    <row r="596" spans="1:22" s="138" customFormat="1" ht="12.75" x14ac:dyDescent="0.2">
      <c r="A596" s="165">
        <f>A595+1</f>
        <v>382</v>
      </c>
      <c r="B596" s="94" t="s">
        <v>107</v>
      </c>
      <c r="C596" s="12">
        <v>1971</v>
      </c>
      <c r="D596" s="161"/>
      <c r="E596" s="152" t="s">
        <v>219</v>
      </c>
      <c r="F596" s="165">
        <v>5</v>
      </c>
      <c r="G596" s="165">
        <v>2</v>
      </c>
      <c r="H596" s="161">
        <v>4828.4399999999996</v>
      </c>
      <c r="I596" s="161">
        <v>3806.34</v>
      </c>
      <c r="J596" s="161">
        <v>1885.8</v>
      </c>
      <c r="K596" s="165">
        <v>321</v>
      </c>
      <c r="L596" s="161">
        <f>'виды работ '!C592</f>
        <v>509807.33</v>
      </c>
      <c r="M596" s="159">
        <v>0</v>
      </c>
      <c r="N596" s="159">
        <v>0</v>
      </c>
      <c r="O596" s="159">
        <v>0</v>
      </c>
      <c r="P596" s="161">
        <f>L596</f>
        <v>509807.33</v>
      </c>
      <c r="Q596" s="159">
        <f>L596/H596</f>
        <v>105.58427359561267</v>
      </c>
      <c r="R596" s="161">
        <v>14593.7</v>
      </c>
      <c r="S596" s="4" t="s">
        <v>279</v>
      </c>
      <c r="T596" s="152" t="s">
        <v>231</v>
      </c>
      <c r="V596" s="139">
        <f>L597-'виды работ '!C593</f>
        <v>0</v>
      </c>
    </row>
    <row r="597" spans="1:22" s="138" customFormat="1" ht="12.75" x14ac:dyDescent="0.2">
      <c r="A597" s="165">
        <f>A596+1</f>
        <v>383</v>
      </c>
      <c r="B597" s="95" t="s">
        <v>502</v>
      </c>
      <c r="C597" s="12">
        <v>1983</v>
      </c>
      <c r="D597" s="161"/>
      <c r="E597" s="152" t="s">
        <v>219</v>
      </c>
      <c r="F597" s="165">
        <v>9</v>
      </c>
      <c r="G597" s="165">
        <v>2</v>
      </c>
      <c r="H597" s="161">
        <v>6919</v>
      </c>
      <c r="I597" s="161">
        <v>5657.78</v>
      </c>
      <c r="J597" s="161">
        <v>2507.56</v>
      </c>
      <c r="K597" s="165">
        <v>412</v>
      </c>
      <c r="L597" s="161">
        <f>'виды работ '!C593</f>
        <v>5077617.84</v>
      </c>
      <c r="M597" s="159">
        <v>0</v>
      </c>
      <c r="N597" s="159">
        <v>0</v>
      </c>
      <c r="O597" s="159">
        <v>0</v>
      </c>
      <c r="P597" s="161">
        <f>L597</f>
        <v>5077617.84</v>
      </c>
      <c r="Q597" s="159">
        <f>L597/H597</f>
        <v>733.86585344702985</v>
      </c>
      <c r="R597" s="161">
        <v>14593.7</v>
      </c>
      <c r="S597" s="4" t="s">
        <v>279</v>
      </c>
      <c r="T597" s="152" t="s">
        <v>231</v>
      </c>
      <c r="U597" s="139"/>
      <c r="V597" s="139">
        <f>L598-'виды работ '!C594</f>
        <v>0</v>
      </c>
    </row>
    <row r="598" spans="1:22" s="138" customFormat="1" ht="12.75" x14ac:dyDescent="0.2">
      <c r="A598" s="165">
        <f>A597+1</f>
        <v>384</v>
      </c>
      <c r="B598" s="95" t="s">
        <v>503</v>
      </c>
      <c r="C598" s="7">
        <v>1969</v>
      </c>
      <c r="D598" s="7"/>
      <c r="E598" s="152" t="s">
        <v>219</v>
      </c>
      <c r="F598" s="7">
        <v>5</v>
      </c>
      <c r="G598" s="7">
        <v>4</v>
      </c>
      <c r="H598" s="7">
        <v>3777.08</v>
      </c>
      <c r="I598" s="7">
        <v>3473.68</v>
      </c>
      <c r="J598" s="7">
        <v>3056.84</v>
      </c>
      <c r="K598" s="7">
        <v>178</v>
      </c>
      <c r="L598" s="161">
        <f>'виды работ '!C594</f>
        <v>1741216.79</v>
      </c>
      <c r="M598" s="159">
        <v>0</v>
      </c>
      <c r="N598" s="159">
        <v>0</v>
      </c>
      <c r="O598" s="159">
        <v>0</v>
      </c>
      <c r="P598" s="161">
        <f>L598</f>
        <v>1741216.79</v>
      </c>
      <c r="Q598" s="159">
        <f>L598/H598</f>
        <v>460.9954753407394</v>
      </c>
      <c r="R598" s="161">
        <v>14593.7</v>
      </c>
      <c r="S598" s="4" t="s">
        <v>279</v>
      </c>
      <c r="T598" s="152" t="s">
        <v>231</v>
      </c>
      <c r="U598" s="139"/>
      <c r="V598" s="139">
        <f>L599-'виды работ '!C595</f>
        <v>0</v>
      </c>
    </row>
    <row r="599" spans="1:22" s="138" customFormat="1" ht="12.75" x14ac:dyDescent="0.2">
      <c r="A599" s="171" t="s">
        <v>18</v>
      </c>
      <c r="B599" s="171"/>
      <c r="C599" s="159" t="s">
        <v>222</v>
      </c>
      <c r="D599" s="159" t="s">
        <v>222</v>
      </c>
      <c r="E599" s="159" t="s">
        <v>222</v>
      </c>
      <c r="F599" s="159" t="s">
        <v>222</v>
      </c>
      <c r="G599" s="159" t="s">
        <v>222</v>
      </c>
      <c r="H599" s="161">
        <f>SUM(H595:H598)</f>
        <v>20203.419999999998</v>
      </c>
      <c r="I599" s="161">
        <f t="shared" ref="I599:P599" si="174">SUM(I595:I598)</f>
        <v>17432.7</v>
      </c>
      <c r="J599" s="161">
        <f t="shared" si="174"/>
        <v>9826.7999999999993</v>
      </c>
      <c r="K599" s="165">
        <f t="shared" si="174"/>
        <v>1241</v>
      </c>
      <c r="L599" s="161">
        <f>SUM(L595:L598)</f>
        <v>10122276.27</v>
      </c>
      <c r="M599" s="161">
        <f t="shared" si="174"/>
        <v>0</v>
      </c>
      <c r="N599" s="161">
        <f t="shared" si="174"/>
        <v>0</v>
      </c>
      <c r="O599" s="161">
        <f t="shared" si="174"/>
        <v>0</v>
      </c>
      <c r="P599" s="161">
        <f t="shared" si="174"/>
        <v>10122276.27</v>
      </c>
      <c r="Q599" s="159">
        <f>L599/H599</f>
        <v>501.01795983056337</v>
      </c>
      <c r="R599" s="11" t="s">
        <v>222</v>
      </c>
      <c r="S599" s="11" t="s">
        <v>222</v>
      </c>
      <c r="T599" s="11" t="s">
        <v>222</v>
      </c>
      <c r="U599" s="139"/>
      <c r="V599" s="139">
        <f>L600-'виды работ '!C596</f>
        <v>0</v>
      </c>
    </row>
    <row r="600" spans="1:22" s="138" customFormat="1" ht="12.75" x14ac:dyDescent="0.2">
      <c r="A600" s="169" t="s">
        <v>108</v>
      </c>
      <c r="B600" s="169"/>
      <c r="C600" s="169"/>
      <c r="D600" s="169"/>
      <c r="E600" s="169"/>
      <c r="F600" s="172"/>
      <c r="G600" s="172"/>
      <c r="H600" s="172"/>
      <c r="I600" s="172"/>
      <c r="J600" s="172"/>
      <c r="K600" s="172"/>
      <c r="L600" s="172"/>
      <c r="M600" s="172"/>
      <c r="N600" s="172"/>
      <c r="O600" s="172"/>
      <c r="P600" s="172"/>
      <c r="Q600" s="172"/>
      <c r="R600" s="172"/>
      <c r="S600" s="172"/>
      <c r="T600" s="172"/>
      <c r="U600" s="139"/>
      <c r="V600" s="139">
        <f>L601-'виды работ '!C597</f>
        <v>0</v>
      </c>
    </row>
    <row r="601" spans="1:22" s="138" customFormat="1" ht="12.75" x14ac:dyDescent="0.2">
      <c r="A601" s="160">
        <f>A598+1</f>
        <v>385</v>
      </c>
      <c r="B601" s="5" t="s">
        <v>504</v>
      </c>
      <c r="C601" s="152">
        <v>1988</v>
      </c>
      <c r="D601" s="152"/>
      <c r="E601" s="152" t="s">
        <v>223</v>
      </c>
      <c r="F601" s="152">
        <v>9</v>
      </c>
      <c r="G601" s="152">
        <v>5</v>
      </c>
      <c r="H601" s="163">
        <v>12600.8</v>
      </c>
      <c r="I601" s="152">
        <v>10793.4</v>
      </c>
      <c r="J601" s="152">
        <v>8901.0499999999993</v>
      </c>
      <c r="K601" s="160">
        <v>533</v>
      </c>
      <c r="L601" s="161">
        <f>'виды работ '!C597</f>
        <v>11405700.15</v>
      </c>
      <c r="M601" s="159">
        <v>0</v>
      </c>
      <c r="N601" s="159">
        <v>0</v>
      </c>
      <c r="O601" s="159">
        <v>0</v>
      </c>
      <c r="P601" s="161">
        <f t="shared" ref="P601:P606" si="175">L601</f>
        <v>11405700.15</v>
      </c>
      <c r="Q601" s="159">
        <f t="shared" ref="Q601:Q607" si="176">L601/H601</f>
        <v>905.15682734429572</v>
      </c>
      <c r="R601" s="161">
        <v>14593.7</v>
      </c>
      <c r="S601" s="4" t="s">
        <v>279</v>
      </c>
      <c r="T601" s="152" t="s">
        <v>231</v>
      </c>
      <c r="U601" s="139"/>
      <c r="V601" s="139">
        <f>L602-'виды работ '!C598</f>
        <v>0</v>
      </c>
    </row>
    <row r="602" spans="1:22" s="138" customFormat="1" ht="12.75" x14ac:dyDescent="0.2">
      <c r="A602" s="160">
        <f>A601+1</f>
        <v>386</v>
      </c>
      <c r="B602" s="5" t="s">
        <v>505</v>
      </c>
      <c r="C602" s="152">
        <v>1961</v>
      </c>
      <c r="D602" s="152"/>
      <c r="E602" s="152" t="s">
        <v>219</v>
      </c>
      <c r="F602" s="152">
        <v>2</v>
      </c>
      <c r="G602" s="152">
        <v>2</v>
      </c>
      <c r="H602" s="163">
        <v>512.1</v>
      </c>
      <c r="I602" s="152">
        <v>436.9</v>
      </c>
      <c r="J602" s="152">
        <v>364</v>
      </c>
      <c r="K602" s="160">
        <v>17</v>
      </c>
      <c r="L602" s="161">
        <f>'виды работ '!C598</f>
        <v>3115626.92</v>
      </c>
      <c r="M602" s="159">
        <v>0</v>
      </c>
      <c r="N602" s="159">
        <v>0</v>
      </c>
      <c r="O602" s="159">
        <v>0</v>
      </c>
      <c r="P602" s="161">
        <f t="shared" si="175"/>
        <v>3115626.92</v>
      </c>
      <c r="Q602" s="159">
        <f t="shared" si="176"/>
        <v>6084.0205428627214</v>
      </c>
      <c r="R602" s="161">
        <v>14593.7</v>
      </c>
      <c r="S602" s="4" t="s">
        <v>279</v>
      </c>
      <c r="T602" s="152" t="s">
        <v>231</v>
      </c>
      <c r="U602" s="139"/>
      <c r="V602" s="139">
        <f>L603-'виды работ '!C599</f>
        <v>0</v>
      </c>
    </row>
    <row r="603" spans="1:22" s="138" customFormat="1" ht="12.75" x14ac:dyDescent="0.2">
      <c r="A603" s="160">
        <f>A602+1</f>
        <v>387</v>
      </c>
      <c r="B603" s="5" t="s">
        <v>506</v>
      </c>
      <c r="C603" s="152">
        <v>1970</v>
      </c>
      <c r="D603" s="152"/>
      <c r="E603" s="152" t="s">
        <v>219</v>
      </c>
      <c r="F603" s="152">
        <v>2</v>
      </c>
      <c r="G603" s="152">
        <v>2</v>
      </c>
      <c r="H603" s="163">
        <v>537</v>
      </c>
      <c r="I603" s="152">
        <v>518.4</v>
      </c>
      <c r="J603" s="152">
        <v>152.69999999999999</v>
      </c>
      <c r="K603" s="160">
        <v>42</v>
      </c>
      <c r="L603" s="161">
        <f>'виды работ '!C599</f>
        <v>2018986.3699999999</v>
      </c>
      <c r="M603" s="159">
        <v>0</v>
      </c>
      <c r="N603" s="159">
        <v>0</v>
      </c>
      <c r="O603" s="159">
        <v>0</v>
      </c>
      <c r="P603" s="161">
        <f t="shared" si="175"/>
        <v>2018986.3699999999</v>
      </c>
      <c r="Q603" s="159">
        <f t="shared" si="176"/>
        <v>3759.7511545623834</v>
      </c>
      <c r="R603" s="161">
        <v>14593.7</v>
      </c>
      <c r="S603" s="4" t="s">
        <v>279</v>
      </c>
      <c r="T603" s="152" t="s">
        <v>231</v>
      </c>
      <c r="U603" s="139"/>
      <c r="V603" s="139">
        <f>L604-'виды работ '!C600</f>
        <v>0</v>
      </c>
    </row>
    <row r="604" spans="1:22" s="138" customFormat="1" ht="12.75" x14ac:dyDescent="0.2">
      <c r="A604" s="160">
        <f>A603+1</f>
        <v>388</v>
      </c>
      <c r="B604" s="5" t="s">
        <v>507</v>
      </c>
      <c r="C604" s="152">
        <v>1970</v>
      </c>
      <c r="D604" s="152"/>
      <c r="E604" s="152" t="s">
        <v>219</v>
      </c>
      <c r="F604" s="152">
        <v>2</v>
      </c>
      <c r="G604" s="152">
        <v>2</v>
      </c>
      <c r="H604" s="163">
        <v>560.9</v>
      </c>
      <c r="I604" s="152">
        <v>532.29999999999995</v>
      </c>
      <c r="J604" s="152">
        <v>179.5</v>
      </c>
      <c r="K604" s="160">
        <v>36</v>
      </c>
      <c r="L604" s="161">
        <f>'виды работ '!C600</f>
        <v>1987051.3699999999</v>
      </c>
      <c r="M604" s="159">
        <v>0</v>
      </c>
      <c r="N604" s="159">
        <v>0</v>
      </c>
      <c r="O604" s="159">
        <v>0</v>
      </c>
      <c r="P604" s="161">
        <f t="shared" si="175"/>
        <v>1987051.3699999999</v>
      </c>
      <c r="Q604" s="159">
        <f t="shared" si="176"/>
        <v>3542.6125334284184</v>
      </c>
      <c r="R604" s="161">
        <v>14593.7</v>
      </c>
      <c r="S604" s="4" t="s">
        <v>279</v>
      </c>
      <c r="T604" s="152" t="s">
        <v>231</v>
      </c>
      <c r="U604" s="139"/>
      <c r="V604" s="139">
        <f>L605-'виды работ '!C601</f>
        <v>0</v>
      </c>
    </row>
    <row r="605" spans="1:22" s="138" customFormat="1" ht="12.75" x14ac:dyDescent="0.2">
      <c r="A605" s="160">
        <f>A604+1</f>
        <v>389</v>
      </c>
      <c r="B605" s="5" t="s">
        <v>508</v>
      </c>
      <c r="C605" s="152">
        <v>1970</v>
      </c>
      <c r="D605" s="152"/>
      <c r="E605" s="152" t="s">
        <v>219</v>
      </c>
      <c r="F605" s="152">
        <v>2</v>
      </c>
      <c r="G605" s="152">
        <v>2</v>
      </c>
      <c r="H605" s="163">
        <v>575.5</v>
      </c>
      <c r="I605" s="163">
        <v>529.5</v>
      </c>
      <c r="J605" s="152">
        <v>304.7</v>
      </c>
      <c r="K605" s="160">
        <v>28</v>
      </c>
      <c r="L605" s="161">
        <f>'виды работ '!C601</f>
        <v>1987051.3699999999</v>
      </c>
      <c r="M605" s="159">
        <v>0</v>
      </c>
      <c r="N605" s="159">
        <v>0</v>
      </c>
      <c r="O605" s="159">
        <v>0</v>
      </c>
      <c r="P605" s="161">
        <f t="shared" si="175"/>
        <v>1987051.3699999999</v>
      </c>
      <c r="Q605" s="159">
        <f t="shared" si="176"/>
        <v>3452.7391311902693</v>
      </c>
      <c r="R605" s="161">
        <v>14593.7</v>
      </c>
      <c r="S605" s="4" t="s">
        <v>279</v>
      </c>
      <c r="T605" s="152" t="s">
        <v>231</v>
      </c>
      <c r="U605" s="139"/>
      <c r="V605" s="139">
        <f>L606-'виды работ '!C602</f>
        <v>0</v>
      </c>
    </row>
    <row r="606" spans="1:22" s="138" customFormat="1" ht="12.75" x14ac:dyDescent="0.2">
      <c r="A606" s="160">
        <f>A605+1</f>
        <v>390</v>
      </c>
      <c r="B606" s="5" t="s">
        <v>509</v>
      </c>
      <c r="C606" s="152">
        <v>1970</v>
      </c>
      <c r="D606" s="152"/>
      <c r="E606" s="152" t="s">
        <v>219</v>
      </c>
      <c r="F606" s="152">
        <v>2</v>
      </c>
      <c r="G606" s="152">
        <v>2</v>
      </c>
      <c r="H606" s="163">
        <v>578.12</v>
      </c>
      <c r="I606" s="152">
        <v>528.5</v>
      </c>
      <c r="J606" s="152">
        <v>112.8</v>
      </c>
      <c r="K606" s="160">
        <v>30</v>
      </c>
      <c r="L606" s="161">
        <f>'виды работ '!C602</f>
        <v>1987051.3699999999</v>
      </c>
      <c r="M606" s="159">
        <v>0</v>
      </c>
      <c r="N606" s="159">
        <v>0</v>
      </c>
      <c r="O606" s="159">
        <v>0</v>
      </c>
      <c r="P606" s="161">
        <f t="shared" si="175"/>
        <v>1987051.3699999999</v>
      </c>
      <c r="Q606" s="159">
        <f t="shared" si="176"/>
        <v>3437.0915553864247</v>
      </c>
      <c r="R606" s="161">
        <v>14593.7</v>
      </c>
      <c r="S606" s="4" t="s">
        <v>279</v>
      </c>
      <c r="T606" s="152" t="s">
        <v>231</v>
      </c>
      <c r="U606" s="139"/>
      <c r="V606" s="139">
        <f>L607-'виды работ '!C603</f>
        <v>0</v>
      </c>
    </row>
    <row r="607" spans="1:22" s="138" customFormat="1" ht="12.75" x14ac:dyDescent="0.2">
      <c r="A607" s="171" t="s">
        <v>18</v>
      </c>
      <c r="B607" s="171"/>
      <c r="C607" s="159" t="s">
        <v>222</v>
      </c>
      <c r="D607" s="159" t="s">
        <v>222</v>
      </c>
      <c r="E607" s="159" t="s">
        <v>222</v>
      </c>
      <c r="F607" s="160" t="s">
        <v>222</v>
      </c>
      <c r="G607" s="160" t="s">
        <v>222</v>
      </c>
      <c r="H607" s="161">
        <f>SUM(H601:H606)</f>
        <v>15364.42</v>
      </c>
      <c r="I607" s="161">
        <f t="shared" ref="I607:P607" si="177">SUM(I601:I606)</f>
        <v>13338.999999999998</v>
      </c>
      <c r="J607" s="161">
        <f t="shared" si="177"/>
        <v>10014.75</v>
      </c>
      <c r="K607" s="165">
        <f t="shared" si="177"/>
        <v>686</v>
      </c>
      <c r="L607" s="161">
        <f>SUM(L601:L606)</f>
        <v>22501467.550000001</v>
      </c>
      <c r="M607" s="161">
        <f t="shared" si="177"/>
        <v>0</v>
      </c>
      <c r="N607" s="161">
        <f t="shared" si="177"/>
        <v>0</v>
      </c>
      <c r="O607" s="161">
        <f t="shared" si="177"/>
        <v>0</v>
      </c>
      <c r="P607" s="161">
        <f t="shared" si="177"/>
        <v>22501467.550000001</v>
      </c>
      <c r="Q607" s="159">
        <f t="shared" si="176"/>
        <v>1464.5178633492185</v>
      </c>
      <c r="R607" s="11" t="s">
        <v>222</v>
      </c>
      <c r="S607" s="11" t="s">
        <v>222</v>
      </c>
      <c r="T607" s="11" t="s">
        <v>222</v>
      </c>
      <c r="U607" s="139"/>
      <c r="V607" s="139">
        <f>L608-'виды работ '!C604</f>
        <v>0</v>
      </c>
    </row>
    <row r="608" spans="1:22" s="138" customFormat="1" ht="18" customHeight="1" x14ac:dyDescent="0.2">
      <c r="A608" s="169" t="s">
        <v>109</v>
      </c>
      <c r="B608" s="169"/>
      <c r="C608" s="169"/>
      <c r="D608" s="169"/>
      <c r="E608" s="169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39"/>
      <c r="V608" s="139">
        <f>L609-'виды работ '!C605</f>
        <v>0</v>
      </c>
    </row>
    <row r="609" spans="1:22" s="138" customFormat="1" ht="12.75" x14ac:dyDescent="0.2">
      <c r="A609" s="165">
        <f>A606+1</f>
        <v>391</v>
      </c>
      <c r="B609" s="5" t="s">
        <v>510</v>
      </c>
      <c r="C609" s="152">
        <v>1973</v>
      </c>
      <c r="D609" s="152"/>
      <c r="E609" s="152" t="s">
        <v>219</v>
      </c>
      <c r="F609" s="152">
        <v>2</v>
      </c>
      <c r="G609" s="152">
        <v>2</v>
      </c>
      <c r="H609" s="152">
        <v>739.8</v>
      </c>
      <c r="I609" s="152">
        <v>445.7</v>
      </c>
      <c r="J609" s="152">
        <v>445.7</v>
      </c>
      <c r="K609" s="152">
        <v>36</v>
      </c>
      <c r="L609" s="161">
        <f>'виды работ '!C605</f>
        <v>973128.02</v>
      </c>
      <c r="M609" s="159">
        <v>0</v>
      </c>
      <c r="N609" s="159">
        <v>0</v>
      </c>
      <c r="O609" s="159">
        <v>0</v>
      </c>
      <c r="P609" s="161">
        <f>L609</f>
        <v>973128.02</v>
      </c>
      <c r="Q609" s="159">
        <f>L609/H609</f>
        <v>1315.3933765882673</v>
      </c>
      <c r="R609" s="161">
        <v>14593.7</v>
      </c>
      <c r="S609" s="4" t="s">
        <v>279</v>
      </c>
      <c r="T609" s="152" t="s">
        <v>231</v>
      </c>
      <c r="U609" s="139"/>
      <c r="V609" s="139">
        <f>L610-'виды работ '!C606</f>
        <v>0</v>
      </c>
    </row>
    <row r="610" spans="1:22" s="138" customFormat="1" ht="12.75" x14ac:dyDescent="0.2">
      <c r="A610" s="165">
        <f>A609+1</f>
        <v>392</v>
      </c>
      <c r="B610" s="5" t="s">
        <v>511</v>
      </c>
      <c r="C610" s="152">
        <v>1974</v>
      </c>
      <c r="D610" s="152"/>
      <c r="E610" s="152" t="s">
        <v>219</v>
      </c>
      <c r="F610" s="152">
        <v>5</v>
      </c>
      <c r="G610" s="152">
        <v>3</v>
      </c>
      <c r="H610" s="152">
        <v>2521</v>
      </c>
      <c r="I610" s="152">
        <v>1620.8</v>
      </c>
      <c r="J610" s="152">
        <v>1620.8</v>
      </c>
      <c r="K610" s="152">
        <v>137</v>
      </c>
      <c r="L610" s="161">
        <f>'виды работ '!C606</f>
        <v>1463159.73</v>
      </c>
      <c r="M610" s="159">
        <v>0</v>
      </c>
      <c r="N610" s="159">
        <v>0</v>
      </c>
      <c r="O610" s="159">
        <v>0</v>
      </c>
      <c r="P610" s="161">
        <f>L610</f>
        <v>1463159.73</v>
      </c>
      <c r="Q610" s="159">
        <f>L610/H610</f>
        <v>580.38862752875843</v>
      </c>
      <c r="R610" s="161">
        <v>14593.7</v>
      </c>
      <c r="S610" s="4" t="s">
        <v>279</v>
      </c>
      <c r="T610" s="152" t="s">
        <v>231</v>
      </c>
      <c r="U610" s="139"/>
      <c r="V610" s="139">
        <f>L611-'виды работ '!C607</f>
        <v>0</v>
      </c>
    </row>
    <row r="611" spans="1:22" s="138" customFormat="1" ht="12.75" x14ac:dyDescent="0.2">
      <c r="A611" s="171" t="s">
        <v>18</v>
      </c>
      <c r="B611" s="171"/>
      <c r="C611" s="159" t="s">
        <v>222</v>
      </c>
      <c r="D611" s="159" t="s">
        <v>222</v>
      </c>
      <c r="E611" s="159" t="s">
        <v>222</v>
      </c>
      <c r="F611" s="159" t="s">
        <v>222</v>
      </c>
      <c r="G611" s="159" t="s">
        <v>222</v>
      </c>
      <c r="H611" s="161">
        <f>SUM(H609:H610)</f>
        <v>3260.8</v>
      </c>
      <c r="I611" s="161">
        <f t="shared" ref="I611:P611" si="178">SUM(I609:I610)</f>
        <v>2066.5</v>
      </c>
      <c r="J611" s="161">
        <f t="shared" si="178"/>
        <v>2066.5</v>
      </c>
      <c r="K611" s="165">
        <f t="shared" si="178"/>
        <v>173</v>
      </c>
      <c r="L611" s="161">
        <f>SUM(L609:L610)</f>
        <v>2436287.75</v>
      </c>
      <c r="M611" s="161">
        <f t="shared" si="178"/>
        <v>0</v>
      </c>
      <c r="N611" s="161">
        <f t="shared" si="178"/>
        <v>0</v>
      </c>
      <c r="O611" s="161">
        <f t="shared" si="178"/>
        <v>0</v>
      </c>
      <c r="P611" s="161">
        <f t="shared" si="178"/>
        <v>2436287.75</v>
      </c>
      <c r="Q611" s="159">
        <f>L611/H611</f>
        <v>747.14418240922464</v>
      </c>
      <c r="R611" s="11" t="s">
        <v>222</v>
      </c>
      <c r="S611" s="11" t="s">
        <v>222</v>
      </c>
      <c r="T611" s="11" t="s">
        <v>222</v>
      </c>
      <c r="U611" s="139"/>
      <c r="V611" s="139">
        <f>L612-'виды работ '!C608</f>
        <v>0</v>
      </c>
    </row>
    <row r="612" spans="1:22" s="138" customFormat="1" ht="12.75" x14ac:dyDescent="0.2">
      <c r="A612" s="169" t="s">
        <v>110</v>
      </c>
      <c r="B612" s="169"/>
      <c r="C612" s="169"/>
      <c r="D612" s="169"/>
      <c r="E612" s="169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39"/>
      <c r="V612" s="139">
        <f>L613-'виды работ '!C609</f>
        <v>0</v>
      </c>
    </row>
    <row r="613" spans="1:22" s="138" customFormat="1" ht="12.75" x14ac:dyDescent="0.2">
      <c r="A613" s="160">
        <f>A610+1</f>
        <v>393</v>
      </c>
      <c r="B613" s="5" t="s">
        <v>512</v>
      </c>
      <c r="C613" s="153">
        <v>1976</v>
      </c>
      <c r="D613" s="153"/>
      <c r="E613" s="152" t="s">
        <v>219</v>
      </c>
      <c r="F613" s="153">
        <v>3</v>
      </c>
      <c r="G613" s="153">
        <v>3</v>
      </c>
      <c r="H613" s="153">
        <v>1511.6</v>
      </c>
      <c r="I613" s="153">
        <v>756.27</v>
      </c>
      <c r="J613" s="153">
        <v>671.2</v>
      </c>
      <c r="K613" s="153">
        <v>48</v>
      </c>
      <c r="L613" s="161">
        <f>'виды работ '!C609</f>
        <v>984408.86</v>
      </c>
      <c r="M613" s="159">
        <v>0</v>
      </c>
      <c r="N613" s="159">
        <v>0</v>
      </c>
      <c r="O613" s="159">
        <v>0</v>
      </c>
      <c r="P613" s="161">
        <f t="shared" ref="P613:P623" si="179">L613</f>
        <v>984408.86</v>
      </c>
      <c r="Q613" s="159">
        <f t="shared" ref="Q613:Q623" si="180">L613/H613</f>
        <v>651.23634559407253</v>
      </c>
      <c r="R613" s="161">
        <v>14593.7</v>
      </c>
      <c r="S613" s="4" t="s">
        <v>279</v>
      </c>
      <c r="T613" s="152" t="s">
        <v>231</v>
      </c>
      <c r="U613" s="139"/>
      <c r="V613" s="139">
        <f>L614-'виды работ '!C610</f>
        <v>0</v>
      </c>
    </row>
    <row r="614" spans="1:22" s="138" customFormat="1" ht="12.75" x14ac:dyDescent="0.2">
      <c r="A614" s="160">
        <f>A613+1</f>
        <v>394</v>
      </c>
      <c r="B614" s="5" t="s">
        <v>513</v>
      </c>
      <c r="C614" s="153">
        <v>1986</v>
      </c>
      <c r="D614" s="153"/>
      <c r="E614" s="152" t="s">
        <v>219</v>
      </c>
      <c r="F614" s="153">
        <v>4</v>
      </c>
      <c r="G614" s="153">
        <v>1</v>
      </c>
      <c r="H614" s="153">
        <v>726.8</v>
      </c>
      <c r="I614" s="153">
        <v>481.1</v>
      </c>
      <c r="J614" s="153">
        <v>293</v>
      </c>
      <c r="K614" s="153">
        <v>51</v>
      </c>
      <c r="L614" s="161">
        <f>'виды работ '!C610</f>
        <v>1167725.07</v>
      </c>
      <c r="M614" s="159">
        <v>0</v>
      </c>
      <c r="N614" s="159">
        <v>0</v>
      </c>
      <c r="O614" s="159">
        <v>0</v>
      </c>
      <c r="P614" s="161">
        <f>L614</f>
        <v>1167725.07</v>
      </c>
      <c r="Q614" s="159">
        <f>L614/H614</f>
        <v>1606.6663043478263</v>
      </c>
      <c r="R614" s="161">
        <v>14593.7</v>
      </c>
      <c r="S614" s="4" t="s">
        <v>279</v>
      </c>
      <c r="T614" s="152" t="s">
        <v>231</v>
      </c>
      <c r="U614" s="139"/>
      <c r="V614" s="139">
        <f>L615-'виды работ '!C611</f>
        <v>0</v>
      </c>
    </row>
    <row r="615" spans="1:22" s="138" customFormat="1" ht="12.75" x14ac:dyDescent="0.2">
      <c r="A615" s="160">
        <f t="shared" ref="A615:A624" si="181">A614+1</f>
        <v>395</v>
      </c>
      <c r="B615" s="5" t="s">
        <v>514</v>
      </c>
      <c r="C615" s="153">
        <v>1972</v>
      </c>
      <c r="D615" s="153"/>
      <c r="E615" s="152" t="s">
        <v>219</v>
      </c>
      <c r="F615" s="153">
        <v>2</v>
      </c>
      <c r="G615" s="153">
        <v>3</v>
      </c>
      <c r="H615" s="153">
        <v>534.70000000000005</v>
      </c>
      <c r="I615" s="153">
        <v>285.2</v>
      </c>
      <c r="J615" s="153">
        <v>247.3</v>
      </c>
      <c r="K615" s="153">
        <v>23</v>
      </c>
      <c r="L615" s="161">
        <f>'виды работ '!C611</f>
        <v>3258478.28</v>
      </c>
      <c r="M615" s="159">
        <v>0</v>
      </c>
      <c r="N615" s="159">
        <v>0</v>
      </c>
      <c r="O615" s="159">
        <v>0</v>
      </c>
      <c r="P615" s="161">
        <f t="shared" si="179"/>
        <v>3258478.28</v>
      </c>
      <c r="Q615" s="159">
        <f t="shared" si="180"/>
        <v>6094.0308210211324</v>
      </c>
      <c r="R615" s="161">
        <v>14593.7</v>
      </c>
      <c r="S615" s="4" t="s">
        <v>279</v>
      </c>
      <c r="T615" s="152" t="s">
        <v>231</v>
      </c>
      <c r="U615" s="139"/>
      <c r="V615" s="139">
        <f>L616-'виды работ '!C612</f>
        <v>0</v>
      </c>
    </row>
    <row r="616" spans="1:22" s="138" customFormat="1" ht="12.75" x14ac:dyDescent="0.2">
      <c r="A616" s="160">
        <f t="shared" si="181"/>
        <v>396</v>
      </c>
      <c r="B616" s="155" t="s">
        <v>581</v>
      </c>
      <c r="C616" s="152">
        <v>1973</v>
      </c>
      <c r="D616" s="152"/>
      <c r="E616" s="152" t="s">
        <v>219</v>
      </c>
      <c r="F616" s="152">
        <v>2</v>
      </c>
      <c r="G616" s="152">
        <v>2</v>
      </c>
      <c r="H616" s="159">
        <v>740.3</v>
      </c>
      <c r="I616" s="159">
        <v>452.8</v>
      </c>
      <c r="J616" s="159">
        <v>384.3</v>
      </c>
      <c r="K616" s="160">
        <v>48</v>
      </c>
      <c r="L616" s="165">
        <f>'виды работ '!C612</f>
        <v>1310024.72</v>
      </c>
      <c r="M616" s="159">
        <v>0</v>
      </c>
      <c r="N616" s="159">
        <v>0</v>
      </c>
      <c r="O616" s="159">
        <v>0</v>
      </c>
      <c r="P616" s="161">
        <f>L616</f>
        <v>1310024.72</v>
      </c>
      <c r="Q616" s="159">
        <f>L616/H616</f>
        <v>1769.5862758341214</v>
      </c>
      <c r="R616" s="161">
        <v>14593.7</v>
      </c>
      <c r="S616" s="4" t="s">
        <v>279</v>
      </c>
      <c r="T616" s="152" t="s">
        <v>231</v>
      </c>
      <c r="U616" s="139"/>
      <c r="V616" s="139">
        <f>L617-'виды работ '!C613</f>
        <v>0</v>
      </c>
    </row>
    <row r="617" spans="1:22" s="138" customFormat="1" ht="12.75" x14ac:dyDescent="0.2">
      <c r="A617" s="160">
        <f t="shared" si="181"/>
        <v>397</v>
      </c>
      <c r="B617" s="5" t="s">
        <v>515</v>
      </c>
      <c r="C617" s="153">
        <v>1974</v>
      </c>
      <c r="D617" s="153"/>
      <c r="E617" s="152" t="s">
        <v>219</v>
      </c>
      <c r="F617" s="153">
        <v>2</v>
      </c>
      <c r="G617" s="153">
        <v>3</v>
      </c>
      <c r="H617" s="153">
        <v>858.2</v>
      </c>
      <c r="I617" s="153">
        <v>487.91</v>
      </c>
      <c r="J617" s="153">
        <v>377.4</v>
      </c>
      <c r="K617" s="153">
        <v>41</v>
      </c>
      <c r="L617" s="161">
        <f>'виды работ '!C613</f>
        <v>4728001.33</v>
      </c>
      <c r="M617" s="159">
        <v>0</v>
      </c>
      <c r="N617" s="159">
        <v>0</v>
      </c>
      <c r="O617" s="159">
        <v>0</v>
      </c>
      <c r="P617" s="161">
        <f t="shared" si="179"/>
        <v>4728001.33</v>
      </c>
      <c r="Q617" s="159">
        <f t="shared" si="180"/>
        <v>5509.206863202051</v>
      </c>
      <c r="R617" s="161">
        <v>14593.7</v>
      </c>
      <c r="S617" s="4" t="s">
        <v>279</v>
      </c>
      <c r="T617" s="152" t="s">
        <v>231</v>
      </c>
      <c r="U617" s="139"/>
      <c r="V617" s="139">
        <f>L618-'виды работ '!C614</f>
        <v>0</v>
      </c>
    </row>
    <row r="618" spans="1:22" s="138" customFormat="1" ht="12.75" x14ac:dyDescent="0.2">
      <c r="A618" s="160">
        <f t="shared" si="181"/>
        <v>398</v>
      </c>
      <c r="B618" s="5" t="s">
        <v>516</v>
      </c>
      <c r="C618" s="152">
        <v>1966</v>
      </c>
      <c r="D618" s="153"/>
      <c r="E618" s="152" t="s">
        <v>219</v>
      </c>
      <c r="F618" s="153">
        <v>2</v>
      </c>
      <c r="G618" s="153">
        <v>2</v>
      </c>
      <c r="H618" s="9">
        <v>337</v>
      </c>
      <c r="I618" s="9">
        <v>337</v>
      </c>
      <c r="J618" s="153">
        <v>285.2</v>
      </c>
      <c r="K618" s="152">
        <v>14</v>
      </c>
      <c r="L618" s="161">
        <f>'виды работ '!C614</f>
        <v>134431</v>
      </c>
      <c r="M618" s="159">
        <v>0</v>
      </c>
      <c r="N618" s="159">
        <v>0</v>
      </c>
      <c r="O618" s="159">
        <v>0</v>
      </c>
      <c r="P618" s="161">
        <f t="shared" si="179"/>
        <v>134431</v>
      </c>
      <c r="Q618" s="159">
        <f t="shared" si="180"/>
        <v>398.90504451038578</v>
      </c>
      <c r="R618" s="161">
        <v>14593.7</v>
      </c>
      <c r="S618" s="4" t="s">
        <v>279</v>
      </c>
      <c r="T618" s="152" t="s">
        <v>231</v>
      </c>
      <c r="U618" s="139"/>
      <c r="V618" s="139">
        <f>L619-'виды работ '!C615</f>
        <v>0</v>
      </c>
    </row>
    <row r="619" spans="1:22" s="138" customFormat="1" ht="12.75" x14ac:dyDescent="0.2">
      <c r="A619" s="160">
        <f t="shared" si="181"/>
        <v>399</v>
      </c>
      <c r="B619" s="5" t="s">
        <v>517</v>
      </c>
      <c r="C619" s="152">
        <v>1966</v>
      </c>
      <c r="D619" s="153"/>
      <c r="E619" s="152" t="s">
        <v>219</v>
      </c>
      <c r="F619" s="153">
        <v>2</v>
      </c>
      <c r="G619" s="153">
        <v>1</v>
      </c>
      <c r="H619" s="9">
        <v>320.89999999999998</v>
      </c>
      <c r="I619" s="153">
        <v>212.14</v>
      </c>
      <c r="J619" s="153">
        <v>384.3</v>
      </c>
      <c r="K619" s="152">
        <v>22</v>
      </c>
      <c r="L619" s="161">
        <f>'виды работ '!C615</f>
        <v>134430.25</v>
      </c>
      <c r="M619" s="159">
        <v>0</v>
      </c>
      <c r="N619" s="159">
        <v>0</v>
      </c>
      <c r="O619" s="159">
        <v>0</v>
      </c>
      <c r="P619" s="161">
        <f t="shared" si="179"/>
        <v>134430.25</v>
      </c>
      <c r="Q619" s="159">
        <f t="shared" si="180"/>
        <v>418.91632907447809</v>
      </c>
      <c r="R619" s="161">
        <v>14593.7</v>
      </c>
      <c r="S619" s="4" t="s">
        <v>279</v>
      </c>
      <c r="T619" s="152" t="s">
        <v>231</v>
      </c>
      <c r="U619" s="139"/>
      <c r="V619" s="139">
        <f>L620-'виды работ '!C616</f>
        <v>0</v>
      </c>
    </row>
    <row r="620" spans="1:22" s="138" customFormat="1" ht="12.75" x14ac:dyDescent="0.2">
      <c r="A620" s="160">
        <f t="shared" si="181"/>
        <v>400</v>
      </c>
      <c r="B620" s="5" t="s">
        <v>518</v>
      </c>
      <c r="C620" s="152">
        <v>1967</v>
      </c>
      <c r="D620" s="153"/>
      <c r="E620" s="152" t="s">
        <v>219</v>
      </c>
      <c r="F620" s="153">
        <v>2</v>
      </c>
      <c r="G620" s="153">
        <v>1</v>
      </c>
      <c r="H620" s="9">
        <v>498.5</v>
      </c>
      <c r="I620" s="153">
        <v>203.07</v>
      </c>
      <c r="J620" s="153">
        <v>127.3</v>
      </c>
      <c r="K620" s="152">
        <v>16</v>
      </c>
      <c r="L620" s="161">
        <f>'виды работ '!C616</f>
        <v>1953982.94</v>
      </c>
      <c r="M620" s="159">
        <v>0</v>
      </c>
      <c r="N620" s="159">
        <v>0</v>
      </c>
      <c r="O620" s="159">
        <v>0</v>
      </c>
      <c r="P620" s="161">
        <f t="shared" si="179"/>
        <v>1953982.94</v>
      </c>
      <c r="Q620" s="159">
        <f t="shared" si="180"/>
        <v>3919.7250551654965</v>
      </c>
      <c r="R620" s="161">
        <v>14593.7</v>
      </c>
      <c r="S620" s="4" t="s">
        <v>279</v>
      </c>
      <c r="T620" s="152" t="s">
        <v>231</v>
      </c>
      <c r="U620" s="139"/>
      <c r="V620" s="139">
        <f>L621-'виды работ '!C617</f>
        <v>0</v>
      </c>
    </row>
    <row r="621" spans="1:22" s="138" customFormat="1" ht="12.75" x14ac:dyDescent="0.2">
      <c r="A621" s="160">
        <f t="shared" si="181"/>
        <v>401</v>
      </c>
      <c r="B621" s="5" t="s">
        <v>519</v>
      </c>
      <c r="C621" s="152">
        <v>1947</v>
      </c>
      <c r="D621" s="153"/>
      <c r="E621" s="152" t="s">
        <v>255</v>
      </c>
      <c r="F621" s="153">
        <v>2</v>
      </c>
      <c r="G621" s="153">
        <v>1</v>
      </c>
      <c r="H621" s="153">
        <v>483</v>
      </c>
      <c r="I621" s="153">
        <v>320.3</v>
      </c>
      <c r="J621" s="153">
        <v>153.5</v>
      </c>
      <c r="K621" s="152">
        <v>29</v>
      </c>
      <c r="L621" s="161">
        <f>'виды работ '!C617</f>
        <v>879085.47</v>
      </c>
      <c r="M621" s="159">
        <v>0</v>
      </c>
      <c r="N621" s="159">
        <v>0</v>
      </c>
      <c r="O621" s="159">
        <v>0</v>
      </c>
      <c r="P621" s="161">
        <f t="shared" si="179"/>
        <v>879085.47</v>
      </c>
      <c r="Q621" s="159">
        <f t="shared" si="180"/>
        <v>1820.0527329192546</v>
      </c>
      <c r="R621" s="161">
        <v>14593.7</v>
      </c>
      <c r="S621" s="4" t="s">
        <v>279</v>
      </c>
      <c r="T621" s="152" t="s">
        <v>231</v>
      </c>
      <c r="U621" s="139"/>
      <c r="V621" s="139">
        <f>L622-'виды работ '!C618</f>
        <v>0</v>
      </c>
    </row>
    <row r="622" spans="1:22" s="138" customFormat="1" ht="12.75" x14ac:dyDescent="0.2">
      <c r="A622" s="160">
        <f t="shared" si="181"/>
        <v>402</v>
      </c>
      <c r="B622" s="5" t="s">
        <v>520</v>
      </c>
      <c r="C622" s="152">
        <v>1947</v>
      </c>
      <c r="D622" s="153"/>
      <c r="E622" s="152" t="s">
        <v>255</v>
      </c>
      <c r="F622" s="153">
        <v>2</v>
      </c>
      <c r="G622" s="153">
        <v>1</v>
      </c>
      <c r="H622" s="153">
        <v>477.4</v>
      </c>
      <c r="I622" s="153">
        <v>322.10000000000002</v>
      </c>
      <c r="J622" s="153">
        <v>103.7</v>
      </c>
      <c r="K622" s="152">
        <v>34</v>
      </c>
      <c r="L622" s="161">
        <f>'виды работ '!C618</f>
        <v>745374.13</v>
      </c>
      <c r="M622" s="159">
        <v>0</v>
      </c>
      <c r="N622" s="159">
        <v>0</v>
      </c>
      <c r="O622" s="159">
        <v>0</v>
      </c>
      <c r="P622" s="161">
        <f t="shared" si="179"/>
        <v>745374.13</v>
      </c>
      <c r="Q622" s="159">
        <f t="shared" si="180"/>
        <v>1561.3199204021785</v>
      </c>
      <c r="R622" s="161">
        <v>14593.7</v>
      </c>
      <c r="S622" s="4" t="s">
        <v>279</v>
      </c>
      <c r="T622" s="152" t="s">
        <v>231</v>
      </c>
      <c r="U622" s="139"/>
      <c r="V622" s="139">
        <f>L623-'виды работ '!C619</f>
        <v>0</v>
      </c>
    </row>
    <row r="623" spans="1:22" s="138" customFormat="1" ht="12.75" x14ac:dyDescent="0.2">
      <c r="A623" s="160">
        <f t="shared" si="181"/>
        <v>403</v>
      </c>
      <c r="B623" s="5" t="s">
        <v>521</v>
      </c>
      <c r="C623" s="152">
        <v>1947</v>
      </c>
      <c r="D623" s="153"/>
      <c r="E623" s="152" t="s">
        <v>255</v>
      </c>
      <c r="F623" s="153">
        <v>2</v>
      </c>
      <c r="G623" s="153">
        <v>1</v>
      </c>
      <c r="H623" s="153">
        <v>478.7</v>
      </c>
      <c r="I623" s="153">
        <v>319.01</v>
      </c>
      <c r="J623" s="153">
        <v>120.4</v>
      </c>
      <c r="K623" s="152">
        <v>23</v>
      </c>
      <c r="L623" s="161">
        <f>'виды работ '!C619</f>
        <v>745374.13</v>
      </c>
      <c r="M623" s="159">
        <v>0</v>
      </c>
      <c r="N623" s="159">
        <v>0</v>
      </c>
      <c r="O623" s="159">
        <v>0</v>
      </c>
      <c r="P623" s="161">
        <f t="shared" si="179"/>
        <v>745374.13</v>
      </c>
      <c r="Q623" s="159">
        <f t="shared" si="180"/>
        <v>1557.0798621265928</v>
      </c>
      <c r="R623" s="161">
        <v>14593.7</v>
      </c>
      <c r="S623" s="4" t="s">
        <v>279</v>
      </c>
      <c r="T623" s="152" t="s">
        <v>231</v>
      </c>
      <c r="U623" s="139"/>
      <c r="V623" s="139">
        <f>L624-'виды работ '!C620</f>
        <v>0</v>
      </c>
    </row>
    <row r="624" spans="1:22" s="138" customFormat="1" ht="12.75" x14ac:dyDescent="0.2">
      <c r="A624" s="160">
        <f t="shared" si="181"/>
        <v>404</v>
      </c>
      <c r="B624" s="5" t="s">
        <v>522</v>
      </c>
      <c r="C624" s="153">
        <v>1954</v>
      </c>
      <c r="D624" s="153"/>
      <c r="E624" s="152" t="s">
        <v>255</v>
      </c>
      <c r="F624" s="153">
        <v>2</v>
      </c>
      <c r="G624" s="153">
        <v>3</v>
      </c>
      <c r="H624" s="153">
        <v>428.9</v>
      </c>
      <c r="I624" s="153">
        <v>310</v>
      </c>
      <c r="J624" s="153">
        <v>36.1</v>
      </c>
      <c r="K624" s="153">
        <v>19</v>
      </c>
      <c r="L624" s="161">
        <f>'виды работ '!C620</f>
        <v>580287.13</v>
      </c>
      <c r="M624" s="159">
        <v>0</v>
      </c>
      <c r="N624" s="159">
        <v>0</v>
      </c>
      <c r="O624" s="159">
        <v>0</v>
      </c>
      <c r="P624" s="161">
        <f>L624</f>
        <v>580287.13</v>
      </c>
      <c r="Q624" s="159">
        <f>L624/H624</f>
        <v>1352.9660293774773</v>
      </c>
      <c r="R624" s="161">
        <v>14593.7</v>
      </c>
      <c r="S624" s="4" t="s">
        <v>279</v>
      </c>
      <c r="T624" s="152" t="s">
        <v>231</v>
      </c>
      <c r="U624" s="139"/>
      <c r="V624" s="139">
        <f>L625-'виды работ '!C621</f>
        <v>0</v>
      </c>
    </row>
    <row r="625" spans="1:23" s="138" customFormat="1" ht="12.75" x14ac:dyDescent="0.2">
      <c r="A625" s="171" t="s">
        <v>18</v>
      </c>
      <c r="B625" s="171"/>
      <c r="C625" s="159" t="s">
        <v>222</v>
      </c>
      <c r="D625" s="159" t="s">
        <v>222</v>
      </c>
      <c r="E625" s="159" t="s">
        <v>222</v>
      </c>
      <c r="F625" s="159" t="s">
        <v>222</v>
      </c>
      <c r="G625" s="159" t="s">
        <v>222</v>
      </c>
      <c r="H625" s="161">
        <f>SUM(H613:H624)</f>
        <v>7395.9999999999982</v>
      </c>
      <c r="I625" s="161">
        <f t="shared" ref="I625:P625" si="182">SUM(I613:I624)</f>
        <v>4486.8999999999996</v>
      </c>
      <c r="J625" s="161">
        <f t="shared" si="182"/>
        <v>3183.7</v>
      </c>
      <c r="K625" s="165">
        <f t="shared" si="182"/>
        <v>368</v>
      </c>
      <c r="L625" s="161">
        <f t="shared" si="182"/>
        <v>16621603.310000002</v>
      </c>
      <c r="M625" s="161">
        <f t="shared" si="182"/>
        <v>0</v>
      </c>
      <c r="N625" s="161">
        <f t="shared" si="182"/>
        <v>0</v>
      </c>
      <c r="O625" s="161">
        <f t="shared" si="182"/>
        <v>0</v>
      </c>
      <c r="P625" s="161">
        <f t="shared" si="182"/>
        <v>16621603.310000002</v>
      </c>
      <c r="Q625" s="159">
        <f>L625/H625</f>
        <v>2247.3774080584108</v>
      </c>
      <c r="R625" s="11" t="s">
        <v>222</v>
      </c>
      <c r="S625" s="11" t="s">
        <v>222</v>
      </c>
      <c r="T625" s="11" t="s">
        <v>222</v>
      </c>
      <c r="U625" s="139"/>
      <c r="V625" s="139">
        <f>L626-'виды работ '!C622</f>
        <v>0</v>
      </c>
    </row>
    <row r="626" spans="1:23" s="230" customFormat="1" ht="12.75" x14ac:dyDescent="0.2">
      <c r="A626" s="169" t="s">
        <v>111</v>
      </c>
      <c r="B626" s="169"/>
      <c r="C626" s="169"/>
      <c r="D626" s="158" t="s">
        <v>222</v>
      </c>
      <c r="E626" s="158" t="s">
        <v>222</v>
      </c>
      <c r="F626" s="158" t="s">
        <v>222</v>
      </c>
      <c r="G626" s="158" t="s">
        <v>222</v>
      </c>
      <c r="H626" s="166">
        <f t="shared" ref="H626:P626" si="183">H599+H607+H611+H625+H593</f>
        <v>49787.64</v>
      </c>
      <c r="I626" s="166">
        <f t="shared" si="183"/>
        <v>37699.74</v>
      </c>
      <c r="J626" s="166">
        <f t="shared" si="183"/>
        <v>27443.75</v>
      </c>
      <c r="K626" s="16">
        <f t="shared" si="183"/>
        <v>2691</v>
      </c>
      <c r="L626" s="166">
        <f t="shared" si="183"/>
        <v>52212253.68</v>
      </c>
      <c r="M626" s="166">
        <f t="shared" si="183"/>
        <v>0</v>
      </c>
      <c r="N626" s="166">
        <f t="shared" si="183"/>
        <v>0</v>
      </c>
      <c r="O626" s="166">
        <f t="shared" si="183"/>
        <v>0</v>
      </c>
      <c r="P626" s="166">
        <f t="shared" si="183"/>
        <v>52212253.68</v>
      </c>
      <c r="Q626" s="158">
        <f>L626/H626</f>
        <v>1048.6991084534234</v>
      </c>
      <c r="R626" s="17" t="s">
        <v>222</v>
      </c>
      <c r="S626" s="17" t="s">
        <v>222</v>
      </c>
      <c r="T626" s="17" t="s">
        <v>222</v>
      </c>
      <c r="U626" s="166"/>
      <c r="V626" s="139">
        <f>L627-'виды работ '!C623</f>
        <v>0</v>
      </c>
    </row>
    <row r="627" spans="1:23" s="138" customFormat="1" ht="12.75" x14ac:dyDescent="0.2">
      <c r="A627" s="168" t="s">
        <v>234</v>
      </c>
      <c r="B627" s="168"/>
      <c r="C627" s="168"/>
      <c r="D627" s="158" t="s">
        <v>222</v>
      </c>
      <c r="E627" s="158" t="s">
        <v>222</v>
      </c>
      <c r="F627" s="158" t="s">
        <v>222</v>
      </c>
      <c r="G627" s="158" t="s">
        <v>222</v>
      </c>
      <c r="H627" s="166">
        <f t="shared" ref="H627:O627" si="184">H54+H77+H138+H188+H228+H267+H287+H297+H335+H353+H384+H440+H459+H494+H533+H548+H589+H626</f>
        <v>925268.95000000007</v>
      </c>
      <c r="I627" s="166">
        <f t="shared" si="184"/>
        <v>744363.75999999989</v>
      </c>
      <c r="J627" s="166">
        <f t="shared" si="184"/>
        <v>572470.25</v>
      </c>
      <c r="K627" s="16">
        <f t="shared" si="184"/>
        <v>35129</v>
      </c>
      <c r="L627" s="166">
        <f>L54+L77+L138+L188+L228+L267+L287+L297+L335+L353+L384+L440+L459+L494+L533+L548+L589+L626</f>
        <v>1043077567.5095999</v>
      </c>
      <c r="M627" s="166">
        <f t="shared" si="184"/>
        <v>0</v>
      </c>
      <c r="N627" s="166">
        <f t="shared" si="184"/>
        <v>0</v>
      </c>
      <c r="O627" s="166">
        <f t="shared" si="184"/>
        <v>0</v>
      </c>
      <c r="P627" s="166">
        <f>P54+P77+P138+P188+P228+P267+P287+P297+P335+P353+P384+P440+P459+P494+P533+P548+P589+P626</f>
        <v>1045402645.5095999</v>
      </c>
      <c r="Q627" s="158">
        <f>L627/H627</f>
        <v>1127.3236473671789</v>
      </c>
      <c r="R627" s="17" t="s">
        <v>222</v>
      </c>
      <c r="S627" s="17" t="s">
        <v>222</v>
      </c>
      <c r="T627" s="17" t="s">
        <v>222</v>
      </c>
      <c r="U627" s="166"/>
      <c r="V627" s="139">
        <f>L627-'виды работ '!C623</f>
        <v>0</v>
      </c>
      <c r="W627" s="139">
        <f>'виды работ '!C624</f>
        <v>18990238.071351439</v>
      </c>
    </row>
    <row r="628" spans="1:23" s="230" customFormat="1" ht="12.75" x14ac:dyDescent="0.2">
      <c r="A628" s="169" t="s">
        <v>175</v>
      </c>
      <c r="B628" s="169"/>
      <c r="C628" s="169"/>
      <c r="D628" s="158" t="s">
        <v>222</v>
      </c>
      <c r="E628" s="158" t="s">
        <v>222</v>
      </c>
      <c r="F628" s="158" t="s">
        <v>222</v>
      </c>
      <c r="G628" s="158" t="s">
        <v>222</v>
      </c>
      <c r="H628" s="158" t="s">
        <v>222</v>
      </c>
      <c r="I628" s="158" t="s">
        <v>222</v>
      </c>
      <c r="J628" s="158" t="s">
        <v>222</v>
      </c>
      <c r="K628" s="158" t="s">
        <v>222</v>
      </c>
      <c r="L628" s="166">
        <f>'виды работ '!C625</f>
        <v>1062067805.5809513</v>
      </c>
      <c r="M628" s="166">
        <f>M55+M78+M139+M189+M229+M268+M288+M298+M336+M354+M385+M441+M460+M495+M534+M549+M590+M627</f>
        <v>0</v>
      </c>
      <c r="N628" s="166">
        <f>N55+N78+N139+N189+N229+N268+N288+N298+N336+N354+N385+N441+N460+N495+N534+N549+N590+N627</f>
        <v>0</v>
      </c>
      <c r="O628" s="166">
        <f>O55+O78+O139+O189+O229+O268+O288+O298+O336+O354+O385+O441+O460+O495+O534+O549+O590+O627</f>
        <v>0</v>
      </c>
      <c r="P628" s="166">
        <f>L628</f>
        <v>1062067805.5809513</v>
      </c>
      <c r="Q628" s="17" t="s">
        <v>222</v>
      </c>
      <c r="R628" s="17" t="s">
        <v>222</v>
      </c>
      <c r="S628" s="17" t="s">
        <v>222</v>
      </c>
      <c r="T628" s="17" t="s">
        <v>222</v>
      </c>
      <c r="U628" s="243">
        <f>L628-'виды работ '!C625</f>
        <v>0</v>
      </c>
      <c r="V628" s="139">
        <f>L628-'виды работ '!C625</f>
        <v>0</v>
      </c>
    </row>
  </sheetData>
  <mergeCells count="312">
    <mergeCell ref="A6:S6"/>
    <mergeCell ref="D7:Q7"/>
    <mergeCell ref="A8:A11"/>
    <mergeCell ref="B8:B11"/>
    <mergeCell ref="C8:D8"/>
    <mergeCell ref="E8:E11"/>
    <mergeCell ref="F8:F11"/>
    <mergeCell ref="S8:S11"/>
    <mergeCell ref="G8:G11"/>
    <mergeCell ref="H8:H10"/>
    <mergeCell ref="I8:J8"/>
    <mergeCell ref="C9:C11"/>
    <mergeCell ref="D9:D11"/>
    <mergeCell ref="I9:I10"/>
    <mergeCell ref="A14:E14"/>
    <mergeCell ref="F14:T14"/>
    <mergeCell ref="A31:B31"/>
    <mergeCell ref="A32:E32"/>
    <mergeCell ref="F32:T32"/>
    <mergeCell ref="A35:B35"/>
    <mergeCell ref="L9:L10"/>
    <mergeCell ref="A13:T13"/>
    <mergeCell ref="K8:K10"/>
    <mergeCell ref="L8:P8"/>
    <mergeCell ref="Q8:Q10"/>
    <mergeCell ref="J9:J10"/>
    <mergeCell ref="R8:R10"/>
    <mergeCell ref="T8:T11"/>
    <mergeCell ref="A56:E56"/>
    <mergeCell ref="F56:T56"/>
    <mergeCell ref="A36:E36"/>
    <mergeCell ref="A50:B50"/>
    <mergeCell ref="F51:T51"/>
    <mergeCell ref="A62:B62"/>
    <mergeCell ref="A77:C77"/>
    <mergeCell ref="A73:B73"/>
    <mergeCell ref="A74:E74"/>
    <mergeCell ref="F36:T36"/>
    <mergeCell ref="A40:B40"/>
    <mergeCell ref="A59:E59"/>
    <mergeCell ref="F59:T59"/>
    <mergeCell ref="A58:B58"/>
    <mergeCell ref="F74:T74"/>
    <mergeCell ref="A76:B76"/>
    <mergeCell ref="A53:B53"/>
    <mergeCell ref="A54:C54"/>
    <mergeCell ref="A55:T55"/>
    <mergeCell ref="A51:E51"/>
    <mergeCell ref="A41:E41"/>
    <mergeCell ref="F41:T41"/>
    <mergeCell ref="A78:T78"/>
    <mergeCell ref="A63:E63"/>
    <mergeCell ref="F63:T63"/>
    <mergeCell ref="A65:B65"/>
    <mergeCell ref="A66:E66"/>
    <mergeCell ref="A70:B70"/>
    <mergeCell ref="A71:E71"/>
    <mergeCell ref="F66:T66"/>
    <mergeCell ref="F71:T71"/>
    <mergeCell ref="A170:E170"/>
    <mergeCell ref="F170:T170"/>
    <mergeCell ref="A150:B150"/>
    <mergeCell ref="A151:E151"/>
    <mergeCell ref="F151:T151"/>
    <mergeCell ref="A158:B158"/>
    <mergeCell ref="A169:B169"/>
    <mergeCell ref="A97:E97"/>
    <mergeCell ref="F97:T97"/>
    <mergeCell ref="F134:T134"/>
    <mergeCell ref="A137:B137"/>
    <mergeCell ref="A138:C138"/>
    <mergeCell ref="A133:B133"/>
    <mergeCell ref="A159:E159"/>
    <mergeCell ref="F159:T159"/>
    <mergeCell ref="A166:B166"/>
    <mergeCell ref="A128:E128"/>
    <mergeCell ref="A167:E167"/>
    <mergeCell ref="F167:T167"/>
    <mergeCell ref="A134:E134"/>
    <mergeCell ref="A147:E147"/>
    <mergeCell ref="F147:T147"/>
    <mergeCell ref="A110:B110"/>
    <mergeCell ref="A111:E111"/>
    <mergeCell ref="A89:B89"/>
    <mergeCell ref="A114:E114"/>
    <mergeCell ref="F114:T114"/>
    <mergeCell ref="A146:B146"/>
    <mergeCell ref="A139:T139"/>
    <mergeCell ref="A140:E140"/>
    <mergeCell ref="F140:T140"/>
    <mergeCell ref="A90:E90"/>
    <mergeCell ref="A79:E79"/>
    <mergeCell ref="A84:B84"/>
    <mergeCell ref="A85:E85"/>
    <mergeCell ref="F85:T85"/>
    <mergeCell ref="A94:E94"/>
    <mergeCell ref="F94:T94"/>
    <mergeCell ref="A96:B96"/>
    <mergeCell ref="F90:T90"/>
    <mergeCell ref="A93:B93"/>
    <mergeCell ref="F111:T111"/>
    <mergeCell ref="A113:B113"/>
    <mergeCell ref="A127:B127"/>
    <mergeCell ref="A178:B178"/>
    <mergeCell ref="A179:E179"/>
    <mergeCell ref="F179:T179"/>
    <mergeCell ref="A187:B187"/>
    <mergeCell ref="A188:C188"/>
    <mergeCell ref="A189:T189"/>
    <mergeCell ref="A190:E190"/>
    <mergeCell ref="F190:T190"/>
    <mergeCell ref="A195:C195"/>
    <mergeCell ref="A196:E196"/>
    <mergeCell ref="F196:T196"/>
    <mergeCell ref="A268:T268"/>
    <mergeCell ref="A208:E208"/>
    <mergeCell ref="F208:T208"/>
    <mergeCell ref="A211:C211"/>
    <mergeCell ref="A215:E215"/>
    <mergeCell ref="F221:T221"/>
    <mergeCell ref="A227:C227"/>
    <mergeCell ref="A228:C228"/>
    <mergeCell ref="A229:T229"/>
    <mergeCell ref="A214:C214"/>
    <mergeCell ref="A220:C220"/>
    <mergeCell ref="A221:E221"/>
    <mergeCell ref="A230:E230"/>
    <mergeCell ref="F230:T230"/>
    <mergeCell ref="A260:C260"/>
    <mergeCell ref="A212:E212"/>
    <mergeCell ref="F212:T212"/>
    <mergeCell ref="A207:C207"/>
    <mergeCell ref="A274:C274"/>
    <mergeCell ref="A261:E261"/>
    <mergeCell ref="F261:T261"/>
    <mergeCell ref="A263:C263"/>
    <mergeCell ref="A269:E269"/>
    <mergeCell ref="F269:T269"/>
    <mergeCell ref="A264:E264"/>
    <mergeCell ref="A275:E275"/>
    <mergeCell ref="F275:T275"/>
    <mergeCell ref="A267:C267"/>
    <mergeCell ref="F264:T264"/>
    <mergeCell ref="A266:C266"/>
    <mergeCell ref="A281:B281"/>
    <mergeCell ref="A282:E282"/>
    <mergeCell ref="F282:T282"/>
    <mergeCell ref="A286:B286"/>
    <mergeCell ref="A297:C297"/>
    <mergeCell ref="A309:B309"/>
    <mergeCell ref="A310:E310"/>
    <mergeCell ref="A320:B320"/>
    <mergeCell ref="A299:E299"/>
    <mergeCell ref="F299:T299"/>
    <mergeCell ref="F310:T310"/>
    <mergeCell ref="A289:E289"/>
    <mergeCell ref="F289:T289"/>
    <mergeCell ref="A292:B292"/>
    <mergeCell ref="A293:E293"/>
    <mergeCell ref="F293:T293"/>
    <mergeCell ref="A298:T298"/>
    <mergeCell ref="A296:B296"/>
    <mergeCell ref="A287:C287"/>
    <mergeCell ref="A288:T288"/>
    <mergeCell ref="A313:B313"/>
    <mergeCell ref="A314:E314"/>
    <mergeCell ref="F314:T314"/>
    <mergeCell ref="A317:B317"/>
    <mergeCell ref="A318:E318"/>
    <mergeCell ref="F318:T318"/>
    <mergeCell ref="F325:T325"/>
    <mergeCell ref="A327:B327"/>
    <mergeCell ref="A328:E328"/>
    <mergeCell ref="F328:T328"/>
    <mergeCell ref="A321:E321"/>
    <mergeCell ref="A324:B324"/>
    <mergeCell ref="A334:B334"/>
    <mergeCell ref="A325:E325"/>
    <mergeCell ref="A354:T354"/>
    <mergeCell ref="A355:E355"/>
    <mergeCell ref="F355:T355"/>
    <mergeCell ref="A365:E365"/>
    <mergeCell ref="F365:T365"/>
    <mergeCell ref="F331:T331"/>
    <mergeCell ref="A330:B330"/>
    <mergeCell ref="A331:E331"/>
    <mergeCell ref="A335:C335"/>
    <mergeCell ref="A336:T336"/>
    <mergeCell ref="A337:E337"/>
    <mergeCell ref="F337:T337"/>
    <mergeCell ref="A352:B352"/>
    <mergeCell ref="A353:C353"/>
    <mergeCell ref="A364:B364"/>
    <mergeCell ref="A373:B373"/>
    <mergeCell ref="A361:B361"/>
    <mergeCell ref="A359:E359"/>
    <mergeCell ref="A358:B358"/>
    <mergeCell ref="A380:E380"/>
    <mergeCell ref="A414:E414"/>
    <mergeCell ref="A379:B379"/>
    <mergeCell ref="F359:T359"/>
    <mergeCell ref="A374:E374"/>
    <mergeCell ref="F374:T374"/>
    <mergeCell ref="A406:B406"/>
    <mergeCell ref="A407:E407"/>
    <mergeCell ref="F414:T414"/>
    <mergeCell ref="F407:T407"/>
    <mergeCell ref="A413:B413"/>
    <mergeCell ref="F380:T380"/>
    <mergeCell ref="A383:B383"/>
    <mergeCell ref="A384:C384"/>
    <mergeCell ref="A385:T385"/>
    <mergeCell ref="A369:B369"/>
    <mergeCell ref="A420:E420"/>
    <mergeCell ref="F420:T420"/>
    <mergeCell ref="A425:B425"/>
    <mergeCell ref="A426:E426"/>
    <mergeCell ref="A419:B419"/>
    <mergeCell ref="A386:E386"/>
    <mergeCell ref="F386:T386"/>
    <mergeCell ref="A394:B394"/>
    <mergeCell ref="A395:E395"/>
    <mergeCell ref="F395:T395"/>
    <mergeCell ref="A434:B434"/>
    <mergeCell ref="F426:T426"/>
    <mergeCell ref="A440:C440"/>
    <mergeCell ref="A439:B439"/>
    <mergeCell ref="A435:E435"/>
    <mergeCell ref="F435:T435"/>
    <mergeCell ref="A463:B463"/>
    <mergeCell ref="A464:E464"/>
    <mergeCell ref="F464:T464"/>
    <mergeCell ref="A460:T460"/>
    <mergeCell ref="A442:E442"/>
    <mergeCell ref="F442:T442"/>
    <mergeCell ref="A444:B444"/>
    <mergeCell ref="F452:T452"/>
    <mergeCell ref="A458:B458"/>
    <mergeCell ref="A451:B451"/>
    <mergeCell ref="A459:C459"/>
    <mergeCell ref="A441:T441"/>
    <mergeCell ref="A445:E445"/>
    <mergeCell ref="F445:T445"/>
    <mergeCell ref="A447:B447"/>
    <mergeCell ref="A448:E448"/>
    <mergeCell ref="F448:T448"/>
    <mergeCell ref="A461:E461"/>
    <mergeCell ref="F461:T461"/>
    <mergeCell ref="A452:E452"/>
    <mergeCell ref="A489:E489"/>
    <mergeCell ref="A499:E499"/>
    <mergeCell ref="F499:T499"/>
    <mergeCell ref="A494:C494"/>
    <mergeCell ref="A495:T495"/>
    <mergeCell ref="A496:E496"/>
    <mergeCell ref="F489:T489"/>
    <mergeCell ref="A493:B493"/>
    <mergeCell ref="A466:B466"/>
    <mergeCell ref="A467:E467"/>
    <mergeCell ref="F467:T467"/>
    <mergeCell ref="A476:B476"/>
    <mergeCell ref="A479:B479"/>
    <mergeCell ref="A480:E480"/>
    <mergeCell ref="F480:T480"/>
    <mergeCell ref="A488:B488"/>
    <mergeCell ref="A477:E477"/>
    <mergeCell ref="F477:T477"/>
    <mergeCell ref="A553:B553"/>
    <mergeCell ref="A554:E554"/>
    <mergeCell ref="F554:T554"/>
    <mergeCell ref="A556:B556"/>
    <mergeCell ref="F557:T557"/>
    <mergeCell ref="A559:B559"/>
    <mergeCell ref="F496:T496"/>
    <mergeCell ref="A498:B498"/>
    <mergeCell ref="A504:B504"/>
    <mergeCell ref="A532:B532"/>
    <mergeCell ref="A550:E550"/>
    <mergeCell ref="A505:E505"/>
    <mergeCell ref="F505:T505"/>
    <mergeCell ref="F550:T550"/>
    <mergeCell ref="A549:T549"/>
    <mergeCell ref="A533:C533"/>
    <mergeCell ref="A534:T534"/>
    <mergeCell ref="A548:B548"/>
    <mergeCell ref="A600:E600"/>
    <mergeCell ref="F600:T600"/>
    <mergeCell ref="A607:B607"/>
    <mergeCell ref="A557:E557"/>
    <mergeCell ref="A591:E591"/>
    <mergeCell ref="A593:B593"/>
    <mergeCell ref="F591:T591"/>
    <mergeCell ref="A589:C589"/>
    <mergeCell ref="A590:T590"/>
    <mergeCell ref="A577:B577"/>
    <mergeCell ref="A599:B599"/>
    <mergeCell ref="A578:E578"/>
    <mergeCell ref="F578:T578"/>
    <mergeCell ref="A588:B588"/>
    <mergeCell ref="A594:E594"/>
    <mergeCell ref="F594:T594"/>
    <mergeCell ref="A560:E560"/>
    <mergeCell ref="F560:T560"/>
    <mergeCell ref="A627:C627"/>
    <mergeCell ref="A628:C628"/>
    <mergeCell ref="A608:E608"/>
    <mergeCell ref="F608:T608"/>
    <mergeCell ref="A611:B611"/>
    <mergeCell ref="A612:E612"/>
    <mergeCell ref="F612:T612"/>
    <mergeCell ref="A625:B625"/>
    <mergeCell ref="A626:C626"/>
  </mergeCells>
  <phoneticPr fontId="16" type="noConversion"/>
  <pageMargins left="0.23622047244094491" right="0.15748031496062992" top="0.43307086614173229" bottom="0.23622047244094491" header="0.31496062992125984" footer="0.15748031496062992"/>
  <pageSetup paperSize="9" scale="54" fitToHeight="0" orientation="landscape" r:id="rId1"/>
  <headerFooter scaleWithDoc="0"/>
  <rowBreaks count="1" manualBreakCount="1">
    <brk id="54" max="19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7"/>
  <sheetViews>
    <sheetView tabSelected="1" view="pageBreakPreview" zoomScale="70" zoomScaleNormal="7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09" sqref="C209"/>
    </sheetView>
  </sheetViews>
  <sheetFormatPr defaultColWidth="9.140625" defaultRowHeight="12.75" x14ac:dyDescent="0.25"/>
  <cols>
    <col min="1" max="1" width="5.28515625" style="98" customWidth="1"/>
    <col min="2" max="2" width="63.42578125" style="98" customWidth="1"/>
    <col min="3" max="3" width="19.28515625" style="99" customWidth="1"/>
    <col min="4" max="4" width="17.28515625" style="99" customWidth="1"/>
    <col min="5" max="5" width="16.42578125" style="99" customWidth="1"/>
    <col min="6" max="6" width="15.140625" style="99" customWidth="1"/>
    <col min="7" max="9" width="14.28515625" style="99" customWidth="1"/>
    <col min="10" max="10" width="10" style="99" customWidth="1"/>
    <col min="11" max="11" width="16.7109375" style="99" customWidth="1"/>
    <col min="12" max="12" width="14.85546875" style="99" bestFit="1" customWidth="1"/>
    <col min="13" max="13" width="15.85546875" style="99" customWidth="1"/>
    <col min="14" max="14" width="10" style="99" customWidth="1"/>
    <col min="15" max="15" width="15.5703125" style="99" bestFit="1" customWidth="1"/>
    <col min="16" max="16" width="11.7109375" style="99" bestFit="1" customWidth="1"/>
    <col min="17" max="17" width="16.85546875" style="99" bestFit="1" customWidth="1"/>
    <col min="18" max="18" width="10" style="99" customWidth="1"/>
    <col min="19" max="19" width="14.28515625" style="99" customWidth="1"/>
    <col min="20" max="20" width="12.140625" style="99" customWidth="1"/>
    <col min="21" max="21" width="15.28515625" style="99" bestFit="1" customWidth="1"/>
    <col min="22" max="24" width="15.7109375" style="99" customWidth="1"/>
    <col min="25" max="25" width="13.85546875" style="119" hidden="1" customWidth="1"/>
    <col min="26" max="26" width="20.5703125" style="98" hidden="1" customWidth="1"/>
    <col min="27" max="27" width="15.42578125" style="98" hidden="1" customWidth="1"/>
    <col min="28" max="28" width="18.7109375" style="98" hidden="1" customWidth="1"/>
    <col min="29" max="29" width="31" style="123" customWidth="1"/>
    <col min="30" max="30" width="9.140625" style="98"/>
    <col min="31" max="31" width="20.85546875" style="98" customWidth="1"/>
    <col min="32" max="16384" width="9.140625" style="98"/>
  </cols>
  <sheetData>
    <row r="1" spans="1:29" x14ac:dyDescent="0.25">
      <c r="A1" s="207" t="s">
        <v>524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AC1" s="228"/>
    </row>
    <row r="2" spans="1:29" x14ac:dyDescent="0.25">
      <c r="AC2" s="228"/>
    </row>
    <row r="3" spans="1:29" ht="12.75" customHeight="1" x14ac:dyDescent="0.25">
      <c r="A3" s="208" t="s">
        <v>0</v>
      </c>
      <c r="B3" s="208" t="s">
        <v>1</v>
      </c>
      <c r="C3" s="208" t="s">
        <v>2</v>
      </c>
      <c r="D3" s="211" t="s">
        <v>183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3"/>
      <c r="AC3" s="228"/>
    </row>
    <row r="4" spans="1:29" ht="12.75" customHeight="1" x14ac:dyDescent="0.25">
      <c r="A4" s="209"/>
      <c r="B4" s="209"/>
      <c r="C4" s="209"/>
      <c r="D4" s="214" t="s">
        <v>184</v>
      </c>
      <c r="E4" s="215"/>
      <c r="F4" s="215"/>
      <c r="G4" s="215"/>
      <c r="H4" s="215"/>
      <c r="I4" s="216"/>
      <c r="J4" s="217" t="s">
        <v>177</v>
      </c>
      <c r="K4" s="218"/>
      <c r="L4" s="217" t="s">
        <v>178</v>
      </c>
      <c r="M4" s="218"/>
      <c r="N4" s="217" t="s">
        <v>179</v>
      </c>
      <c r="O4" s="218"/>
      <c r="P4" s="217" t="s">
        <v>180</v>
      </c>
      <c r="Q4" s="218"/>
      <c r="R4" s="217" t="s">
        <v>181</v>
      </c>
      <c r="S4" s="218"/>
      <c r="T4" s="217" t="s">
        <v>182</v>
      </c>
      <c r="U4" s="218"/>
      <c r="V4" s="208" t="s">
        <v>3</v>
      </c>
      <c r="W4" s="208" t="s">
        <v>4</v>
      </c>
      <c r="X4" s="208" t="s">
        <v>523</v>
      </c>
      <c r="AC4" s="228"/>
    </row>
    <row r="5" spans="1:29" ht="12.75" customHeight="1" x14ac:dyDescent="0.25">
      <c r="A5" s="209"/>
      <c r="B5" s="209"/>
      <c r="C5" s="209"/>
      <c r="D5" s="208" t="s">
        <v>5</v>
      </c>
      <c r="E5" s="214" t="s">
        <v>6</v>
      </c>
      <c r="F5" s="215"/>
      <c r="G5" s="215"/>
      <c r="H5" s="215"/>
      <c r="I5" s="216"/>
      <c r="J5" s="219"/>
      <c r="K5" s="220"/>
      <c r="L5" s="219"/>
      <c r="M5" s="220"/>
      <c r="N5" s="219"/>
      <c r="O5" s="220"/>
      <c r="P5" s="219"/>
      <c r="Q5" s="220"/>
      <c r="R5" s="219"/>
      <c r="S5" s="220"/>
      <c r="T5" s="219"/>
      <c r="U5" s="220"/>
      <c r="V5" s="209"/>
      <c r="W5" s="209"/>
      <c r="X5" s="209"/>
      <c r="AC5" s="228"/>
    </row>
    <row r="6" spans="1:29" ht="60" customHeight="1" x14ac:dyDescent="0.25">
      <c r="A6" s="209"/>
      <c r="B6" s="209"/>
      <c r="C6" s="210"/>
      <c r="D6" s="210"/>
      <c r="E6" s="68" t="s">
        <v>7</v>
      </c>
      <c r="F6" s="68" t="s">
        <v>8</v>
      </c>
      <c r="G6" s="68" t="s">
        <v>9</v>
      </c>
      <c r="H6" s="68" t="s">
        <v>10</v>
      </c>
      <c r="I6" s="68" t="s">
        <v>11</v>
      </c>
      <c r="J6" s="221"/>
      <c r="K6" s="222"/>
      <c r="L6" s="221"/>
      <c r="M6" s="222"/>
      <c r="N6" s="221"/>
      <c r="O6" s="222"/>
      <c r="P6" s="221"/>
      <c r="Q6" s="222"/>
      <c r="R6" s="221"/>
      <c r="S6" s="222"/>
      <c r="T6" s="221"/>
      <c r="U6" s="222"/>
      <c r="V6" s="210"/>
      <c r="W6" s="210"/>
      <c r="X6" s="210"/>
      <c r="AC6" s="228"/>
    </row>
    <row r="7" spans="1:29" s="1" customFormat="1" ht="22.5" customHeight="1" x14ac:dyDescent="0.25">
      <c r="A7" s="210"/>
      <c r="B7" s="210"/>
      <c r="C7" s="68" t="s">
        <v>12</v>
      </c>
      <c r="D7" s="68" t="s">
        <v>12</v>
      </c>
      <c r="E7" s="68" t="s">
        <v>12</v>
      </c>
      <c r="F7" s="68" t="s">
        <v>12</v>
      </c>
      <c r="G7" s="68" t="s">
        <v>12</v>
      </c>
      <c r="H7" s="68" t="s">
        <v>12</v>
      </c>
      <c r="I7" s="68" t="s">
        <v>12</v>
      </c>
      <c r="J7" s="68" t="s">
        <v>13</v>
      </c>
      <c r="K7" s="68" t="s">
        <v>12</v>
      </c>
      <c r="L7" s="68" t="s">
        <v>14</v>
      </c>
      <c r="M7" s="68" t="s">
        <v>12</v>
      </c>
      <c r="N7" s="68" t="s">
        <v>14</v>
      </c>
      <c r="O7" s="68" t="s">
        <v>12</v>
      </c>
      <c r="P7" s="68" t="s">
        <v>14</v>
      </c>
      <c r="Q7" s="68" t="s">
        <v>12</v>
      </c>
      <c r="R7" s="68" t="s">
        <v>15</v>
      </c>
      <c r="S7" s="68" t="s">
        <v>12</v>
      </c>
      <c r="T7" s="68" t="s">
        <v>14</v>
      </c>
      <c r="U7" s="68" t="s">
        <v>12</v>
      </c>
      <c r="V7" s="68" t="s">
        <v>12</v>
      </c>
      <c r="W7" s="68" t="s">
        <v>12</v>
      </c>
      <c r="X7" s="68" t="s">
        <v>12</v>
      </c>
      <c r="Y7" s="120"/>
      <c r="AC7" s="228"/>
    </row>
    <row r="8" spans="1:29" s="1" customFormat="1" ht="22.5" customHeight="1" x14ac:dyDescent="0.25">
      <c r="A8" s="147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  <c r="G8" s="147">
        <v>7</v>
      </c>
      <c r="H8" s="147">
        <v>8</v>
      </c>
      <c r="I8" s="147">
        <v>9</v>
      </c>
      <c r="J8" s="147">
        <v>10</v>
      </c>
      <c r="K8" s="147">
        <v>11</v>
      </c>
      <c r="L8" s="147">
        <v>12</v>
      </c>
      <c r="M8" s="147">
        <v>13</v>
      </c>
      <c r="N8" s="147">
        <v>14</v>
      </c>
      <c r="O8" s="147">
        <v>15</v>
      </c>
      <c r="P8" s="147">
        <v>16</v>
      </c>
      <c r="Q8" s="147">
        <v>17</v>
      </c>
      <c r="R8" s="147">
        <v>18</v>
      </c>
      <c r="S8" s="147">
        <v>19</v>
      </c>
      <c r="T8" s="147">
        <v>20</v>
      </c>
      <c r="U8" s="147">
        <v>21</v>
      </c>
      <c r="V8" s="147">
        <v>22</v>
      </c>
      <c r="W8" s="144">
        <v>23</v>
      </c>
      <c r="X8" s="144">
        <v>24</v>
      </c>
      <c r="Y8" s="120"/>
      <c r="AC8" s="228"/>
    </row>
    <row r="9" spans="1:29" ht="12.75" customHeight="1" x14ac:dyDescent="0.25">
      <c r="A9" s="204" t="s">
        <v>113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121"/>
      <c r="AC9" s="228"/>
    </row>
    <row r="10" spans="1:29" ht="17.25" customHeight="1" x14ac:dyDescent="0.25">
      <c r="A10" s="188" t="s">
        <v>114</v>
      </c>
      <c r="B10" s="188"/>
      <c r="C10" s="188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21"/>
      <c r="AA10" s="122"/>
      <c r="AC10" s="228"/>
    </row>
    <row r="11" spans="1:29" ht="17.25" customHeight="1" x14ac:dyDescent="0.25">
      <c r="A11" s="147">
        <v>1</v>
      </c>
      <c r="B11" s="140" t="s">
        <v>541</v>
      </c>
      <c r="C11" s="145">
        <f t="shared" ref="C11:C26" si="0">D11+K11+M11+O11+Q11+S11+U11+V11+W11+X11</f>
        <v>445411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3">
        <v>445411</v>
      </c>
      <c r="X11" s="142"/>
      <c r="Y11" s="121"/>
      <c r="AA11" s="122"/>
      <c r="AC11" s="228"/>
    </row>
    <row r="12" spans="1:29" ht="17.25" customHeight="1" x14ac:dyDescent="0.25">
      <c r="A12" s="147">
        <f t="shared" ref="A12:A26" si="1">A11+1</f>
        <v>2</v>
      </c>
      <c r="B12" s="140" t="s">
        <v>542</v>
      </c>
      <c r="C12" s="145">
        <f t="shared" si="0"/>
        <v>485499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3">
        <v>485499</v>
      </c>
      <c r="X12" s="142"/>
      <c r="Y12" s="121"/>
      <c r="AA12" s="122"/>
    </row>
    <row r="13" spans="1:29" ht="17.25" customHeight="1" x14ac:dyDescent="0.25">
      <c r="A13" s="147">
        <f t="shared" si="1"/>
        <v>3</v>
      </c>
      <c r="B13" s="5" t="s">
        <v>221</v>
      </c>
      <c r="C13" s="145">
        <f t="shared" si="0"/>
        <v>3316156.2</v>
      </c>
      <c r="D13" s="143"/>
      <c r="E13" s="143"/>
      <c r="F13" s="143"/>
      <c r="G13" s="143"/>
      <c r="H13" s="143"/>
      <c r="I13" s="143"/>
      <c r="J13" s="143"/>
      <c r="K13" s="143"/>
      <c r="L13" s="143">
        <v>635</v>
      </c>
      <c r="M13" s="143">
        <v>2798618.98</v>
      </c>
      <c r="N13" s="143"/>
      <c r="O13" s="143"/>
      <c r="P13" s="143"/>
      <c r="Q13" s="143"/>
      <c r="R13" s="143"/>
      <c r="S13" s="143"/>
      <c r="T13" s="143"/>
      <c r="U13" s="143"/>
      <c r="V13" s="143"/>
      <c r="W13" s="143">
        <v>517537.22</v>
      </c>
      <c r="X13" s="143"/>
      <c r="Y13" s="124"/>
      <c r="Z13" s="122"/>
      <c r="AA13" s="122"/>
    </row>
    <row r="14" spans="1:29" ht="17.25" customHeight="1" x14ac:dyDescent="0.25">
      <c r="A14" s="147">
        <f t="shared" si="1"/>
        <v>4</v>
      </c>
      <c r="B14" s="5" t="s">
        <v>119</v>
      </c>
      <c r="C14" s="145">
        <f t="shared" si="0"/>
        <v>3248208.28</v>
      </c>
      <c r="D14" s="143"/>
      <c r="E14" s="143"/>
      <c r="F14" s="143"/>
      <c r="G14" s="143"/>
      <c r="H14" s="143"/>
      <c r="I14" s="143"/>
      <c r="J14" s="143"/>
      <c r="K14" s="143"/>
      <c r="L14" s="143">
        <v>760</v>
      </c>
      <c r="M14" s="143">
        <v>3248208.28</v>
      </c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24"/>
      <c r="Z14" s="122"/>
      <c r="AA14" s="122"/>
      <c r="AB14" s="122"/>
    </row>
    <row r="15" spans="1:29" ht="17.25" customHeight="1" x14ac:dyDescent="0.25">
      <c r="A15" s="147">
        <f t="shared" si="1"/>
        <v>5</v>
      </c>
      <c r="B15" s="140" t="s">
        <v>543</v>
      </c>
      <c r="C15" s="145">
        <f t="shared" si="0"/>
        <v>214579.68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3">
        <v>214579.68</v>
      </c>
      <c r="X15" s="142"/>
      <c r="Y15" s="121"/>
      <c r="AA15" s="122"/>
    </row>
    <row r="16" spans="1:29" ht="17.25" customHeight="1" x14ac:dyDescent="0.25">
      <c r="A16" s="147">
        <f t="shared" si="1"/>
        <v>6</v>
      </c>
      <c r="B16" s="5" t="s">
        <v>220</v>
      </c>
      <c r="C16" s="145">
        <f t="shared" si="0"/>
        <v>773994.21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>
        <v>773994.21</v>
      </c>
      <c r="X16" s="143"/>
      <c r="Y16" s="124"/>
      <c r="Z16" s="122"/>
      <c r="AA16" s="122"/>
    </row>
    <row r="17" spans="1:31" ht="17.25" customHeight="1" x14ac:dyDescent="0.25">
      <c r="A17" s="147">
        <f t="shared" si="1"/>
        <v>7</v>
      </c>
      <c r="B17" s="5" t="s">
        <v>115</v>
      </c>
      <c r="C17" s="145">
        <f t="shared" si="0"/>
        <v>343578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>
        <v>343578</v>
      </c>
      <c r="X17" s="143"/>
      <c r="Y17" s="124"/>
      <c r="Z17" s="122"/>
      <c r="AA17" s="122"/>
    </row>
    <row r="18" spans="1:31" ht="17.25" customHeight="1" x14ac:dyDescent="0.25">
      <c r="A18" s="147">
        <f t="shared" si="1"/>
        <v>8</v>
      </c>
      <c r="B18" s="5" t="s">
        <v>191</v>
      </c>
      <c r="C18" s="145">
        <f t="shared" si="0"/>
        <v>248004.19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>
        <v>248004.19</v>
      </c>
      <c r="X18" s="143"/>
      <c r="Y18" s="124"/>
      <c r="Z18" s="122"/>
      <c r="AA18" s="122"/>
    </row>
    <row r="19" spans="1:31" ht="17.25" customHeight="1" x14ac:dyDescent="0.25">
      <c r="A19" s="147">
        <f t="shared" si="1"/>
        <v>9</v>
      </c>
      <c r="B19" s="5" t="s">
        <v>217</v>
      </c>
      <c r="C19" s="145">
        <f t="shared" si="0"/>
        <v>4759146.01</v>
      </c>
      <c r="D19" s="143"/>
      <c r="E19" s="143"/>
      <c r="F19" s="143"/>
      <c r="G19" s="143"/>
      <c r="H19" s="143"/>
      <c r="I19" s="143"/>
      <c r="J19" s="143"/>
      <c r="K19" s="143"/>
      <c r="L19" s="143">
        <v>1047</v>
      </c>
      <c r="M19" s="143">
        <v>4229612.8899999997</v>
      </c>
      <c r="N19" s="143"/>
      <c r="O19" s="143"/>
      <c r="P19" s="143"/>
      <c r="Q19" s="143"/>
      <c r="R19" s="143"/>
      <c r="S19" s="143"/>
      <c r="T19" s="143"/>
      <c r="U19" s="143"/>
      <c r="V19" s="143"/>
      <c r="W19" s="143">
        <f>180380.74+187955.58+161196.8</f>
        <v>529533.11999999988</v>
      </c>
      <c r="X19" s="143"/>
      <c r="Y19" s="124"/>
      <c r="Z19" s="122"/>
      <c r="AA19" s="122"/>
    </row>
    <row r="20" spans="1:31" ht="17.25" customHeight="1" x14ac:dyDescent="0.25">
      <c r="A20" s="147">
        <f t="shared" si="1"/>
        <v>10</v>
      </c>
      <c r="B20" s="5" t="s">
        <v>116</v>
      </c>
      <c r="C20" s="145">
        <f t="shared" si="0"/>
        <v>651376.11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>
        <v>651376.11</v>
      </c>
      <c r="X20" s="143"/>
      <c r="Y20" s="124"/>
      <c r="Z20" s="122"/>
      <c r="AA20" s="122"/>
    </row>
    <row r="21" spans="1:31" ht="17.25" customHeight="1" x14ac:dyDescent="0.25">
      <c r="A21" s="147">
        <f t="shared" si="1"/>
        <v>11</v>
      </c>
      <c r="B21" s="5" t="s">
        <v>117</v>
      </c>
      <c r="C21" s="145">
        <f t="shared" si="0"/>
        <v>652324.34000000008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>
        <v>1</v>
      </c>
      <c r="T21" s="143"/>
      <c r="U21" s="143"/>
      <c r="V21" s="143"/>
      <c r="W21" s="143">
        <f>196067.07+456256.27</f>
        <v>652323.34000000008</v>
      </c>
      <c r="X21" s="143"/>
      <c r="Y21" s="124"/>
      <c r="Z21" s="122"/>
      <c r="AA21" s="122"/>
    </row>
    <row r="22" spans="1:31" ht="17.25" customHeight="1" x14ac:dyDescent="0.25">
      <c r="A22" s="147">
        <f t="shared" si="1"/>
        <v>12</v>
      </c>
      <c r="B22" s="5" t="s">
        <v>237</v>
      </c>
      <c r="C22" s="145">
        <f t="shared" si="0"/>
        <v>1472298.9300000002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>
        <f>395144.64+813792.5+263361.79</f>
        <v>1472298.9300000002</v>
      </c>
      <c r="X22" s="143"/>
      <c r="Y22" s="124"/>
      <c r="Z22" s="122"/>
      <c r="AA22" s="122"/>
      <c r="AB22" s="122"/>
    </row>
    <row r="23" spans="1:31" ht="17.25" customHeight="1" x14ac:dyDescent="0.25">
      <c r="A23" s="147">
        <f t="shared" si="1"/>
        <v>13</v>
      </c>
      <c r="B23" s="5" t="s">
        <v>118</v>
      </c>
      <c r="C23" s="145">
        <f t="shared" si="0"/>
        <v>208504.94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>
        <v>208504.94</v>
      </c>
      <c r="X23" s="143"/>
      <c r="Y23" s="124"/>
      <c r="Z23" s="122"/>
      <c r="AA23" s="122"/>
    </row>
    <row r="24" spans="1:31" ht="17.25" customHeight="1" x14ac:dyDescent="0.25">
      <c r="A24" s="147">
        <f t="shared" si="1"/>
        <v>14</v>
      </c>
      <c r="B24" s="140" t="s">
        <v>544</v>
      </c>
      <c r="C24" s="145">
        <f t="shared" si="0"/>
        <v>283265.55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3">
        <v>283265.55</v>
      </c>
      <c r="X24" s="142"/>
      <c r="Y24" s="121"/>
      <c r="AA24" s="122"/>
    </row>
    <row r="25" spans="1:31" ht="17.25" customHeight="1" x14ac:dyDescent="0.25">
      <c r="A25" s="147">
        <f t="shared" si="1"/>
        <v>15</v>
      </c>
      <c r="B25" s="5" t="s">
        <v>120</v>
      </c>
      <c r="C25" s="145">
        <f t="shared" si="0"/>
        <v>129731.41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>
        <v>129731.41</v>
      </c>
      <c r="X25" s="143"/>
      <c r="Y25" s="124"/>
      <c r="Z25" s="122"/>
      <c r="AA25" s="122"/>
    </row>
    <row r="26" spans="1:31" ht="17.25" customHeight="1" x14ac:dyDescent="0.25">
      <c r="A26" s="147">
        <f t="shared" si="1"/>
        <v>16</v>
      </c>
      <c r="B26" s="5" t="s">
        <v>238</v>
      </c>
      <c r="C26" s="145">
        <f t="shared" si="0"/>
        <v>1472298.7600000002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>
        <f>324162.83+909125.55+239010.38</f>
        <v>1472298.7600000002</v>
      </c>
      <c r="X26" s="143"/>
      <c r="Y26" s="124"/>
      <c r="Z26" s="122"/>
      <c r="AA26" s="122"/>
      <c r="AB26" s="122"/>
    </row>
    <row r="27" spans="1:31" ht="17.25" customHeight="1" x14ac:dyDescent="0.25">
      <c r="A27" s="203" t="s">
        <v>18</v>
      </c>
      <c r="B27" s="203"/>
      <c r="C27" s="145">
        <f>SUM(C11:C26)</f>
        <v>18704376.610000003</v>
      </c>
      <c r="D27" s="145"/>
      <c r="E27" s="145"/>
      <c r="F27" s="145"/>
      <c r="G27" s="145"/>
      <c r="H27" s="145"/>
      <c r="I27" s="145"/>
      <c r="J27" s="145"/>
      <c r="K27" s="145"/>
      <c r="L27" s="145">
        <f>SUM(L11:L26)</f>
        <v>2442</v>
      </c>
      <c r="M27" s="145">
        <f>SUM(M11:M26)</f>
        <v>10276440.149999999</v>
      </c>
      <c r="N27" s="145"/>
      <c r="O27" s="145"/>
      <c r="P27" s="145">
        <f>SUM(P11:P26)</f>
        <v>0</v>
      </c>
      <c r="Q27" s="145">
        <f>SUM(Q11:Q26)</f>
        <v>0</v>
      </c>
      <c r="R27" s="145"/>
      <c r="S27" s="145"/>
      <c r="T27" s="145"/>
      <c r="U27" s="145"/>
      <c r="V27" s="145"/>
      <c r="W27" s="145">
        <f>SUM(W11:W26)</f>
        <v>8427935.4600000009</v>
      </c>
      <c r="X27" s="145">
        <f>SUM(X11:X26)</f>
        <v>0</v>
      </c>
      <c r="Y27" s="124"/>
      <c r="Z27" s="122"/>
      <c r="AA27" s="122"/>
      <c r="AB27" s="122"/>
      <c r="AE27" s="123"/>
    </row>
    <row r="28" spans="1:31" ht="17.25" customHeight="1" x14ac:dyDescent="0.25">
      <c r="A28" s="188" t="s">
        <v>121</v>
      </c>
      <c r="B28" s="188"/>
      <c r="C28" s="188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24"/>
      <c r="Z28" s="122"/>
      <c r="AA28" s="122"/>
      <c r="AB28" s="122"/>
    </row>
    <row r="29" spans="1:31" ht="17.25" customHeight="1" x14ac:dyDescent="0.25">
      <c r="A29" s="147">
        <f>A26+1</f>
        <v>17</v>
      </c>
      <c r="B29" s="5" t="s">
        <v>239</v>
      </c>
      <c r="C29" s="145">
        <f>D29+K29+M29+O29+Q29+S29+U29+V29+W29+X29</f>
        <v>5053099.1900000004</v>
      </c>
      <c r="D29" s="143">
        <f>E29+F29+G29+H29+I29</f>
        <v>3110818.58</v>
      </c>
      <c r="E29" s="143"/>
      <c r="F29" s="143">
        <v>1807511.22</v>
      </c>
      <c r="G29" s="143">
        <v>539039.88</v>
      </c>
      <c r="H29" s="143">
        <v>764267.48</v>
      </c>
      <c r="I29" s="143"/>
      <c r="J29" s="143"/>
      <c r="K29" s="143"/>
      <c r="L29" s="143"/>
      <c r="M29" s="143"/>
      <c r="N29" s="143"/>
      <c r="O29" s="143"/>
      <c r="P29" s="143">
        <v>1119.3599999999999</v>
      </c>
      <c r="Q29" s="143">
        <v>1942280.61</v>
      </c>
      <c r="R29" s="143"/>
      <c r="S29" s="143"/>
      <c r="T29" s="143"/>
      <c r="U29" s="143"/>
      <c r="V29" s="143"/>
      <c r="W29" s="143"/>
      <c r="X29" s="143"/>
      <c r="Y29" s="124"/>
      <c r="Z29" s="122"/>
      <c r="AA29" s="122"/>
      <c r="AB29" s="122"/>
    </row>
    <row r="30" spans="1:31" ht="17.25" customHeight="1" x14ac:dyDescent="0.25">
      <c r="A30" s="147">
        <f>A29+1</f>
        <v>18</v>
      </c>
      <c r="B30" s="5" t="s">
        <v>240</v>
      </c>
      <c r="C30" s="145">
        <f>D30+K30+M30+O30+Q30+S30+U30+V30+W30+X30</f>
        <v>1878642.3900000001</v>
      </c>
      <c r="D30" s="143">
        <f>E30+F30+G30+H30+I30</f>
        <v>554485</v>
      </c>
      <c r="E30" s="143"/>
      <c r="F30" s="143"/>
      <c r="G30" s="143">
        <v>291403</v>
      </c>
      <c r="H30" s="143">
        <v>263082</v>
      </c>
      <c r="I30" s="143"/>
      <c r="J30" s="143"/>
      <c r="K30" s="143"/>
      <c r="L30" s="143">
        <v>763</v>
      </c>
      <c r="M30" s="143">
        <v>804235.89</v>
      </c>
      <c r="N30" s="143"/>
      <c r="O30" s="143"/>
      <c r="P30" s="143">
        <v>738.92</v>
      </c>
      <c r="Q30" s="143">
        <v>519921.5</v>
      </c>
      <c r="R30" s="143"/>
      <c r="S30" s="143"/>
      <c r="T30" s="143"/>
      <c r="U30" s="143"/>
      <c r="V30" s="143"/>
      <c r="W30" s="143"/>
      <c r="X30" s="143"/>
      <c r="Y30" s="124"/>
      <c r="Z30" s="122"/>
      <c r="AA30" s="122"/>
      <c r="AB30" s="122"/>
    </row>
    <row r="31" spans="1:31" ht="17.25" customHeight="1" x14ac:dyDescent="0.25">
      <c r="A31" s="203" t="s">
        <v>18</v>
      </c>
      <c r="B31" s="203"/>
      <c r="C31" s="145">
        <f>SUM(C29:C30)</f>
        <v>6931741.5800000001</v>
      </c>
      <c r="D31" s="145">
        <f>SUM(D29:D30)</f>
        <v>3665303.58</v>
      </c>
      <c r="E31" s="145"/>
      <c r="F31" s="145">
        <f>SUM(F29:F30)</f>
        <v>1807511.22</v>
      </c>
      <c r="G31" s="145">
        <f>SUM(G29:G30)</f>
        <v>830442.88</v>
      </c>
      <c r="H31" s="145">
        <f>SUM(H29:H30)</f>
        <v>1027349.48</v>
      </c>
      <c r="I31" s="145"/>
      <c r="J31" s="145"/>
      <c r="K31" s="145"/>
      <c r="L31" s="145">
        <f>SUM(L29:L30)</f>
        <v>763</v>
      </c>
      <c r="M31" s="145">
        <f>SUM(M29:M30)</f>
        <v>804235.89</v>
      </c>
      <c r="N31" s="145"/>
      <c r="O31" s="145"/>
      <c r="P31" s="145">
        <f>SUM(P29:P30)</f>
        <v>1858.2799999999997</v>
      </c>
      <c r="Q31" s="145">
        <f>SUM(Q29:Q30)</f>
        <v>2462202.1100000003</v>
      </c>
      <c r="R31" s="145"/>
      <c r="S31" s="145"/>
      <c r="T31" s="145"/>
      <c r="U31" s="145"/>
      <c r="V31" s="145"/>
      <c r="W31" s="145"/>
      <c r="X31" s="145">
        <f>SUM(X29:X30)</f>
        <v>0</v>
      </c>
      <c r="Y31" s="124"/>
      <c r="Z31" s="122"/>
      <c r="AA31" s="122"/>
      <c r="AB31" s="122"/>
      <c r="AE31" s="123"/>
    </row>
    <row r="32" spans="1:31" ht="17.25" customHeight="1" x14ac:dyDescent="0.25">
      <c r="A32" s="188" t="s">
        <v>122</v>
      </c>
      <c r="B32" s="188"/>
      <c r="C32" s="188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24"/>
      <c r="Z32" s="122"/>
      <c r="AA32" s="122"/>
      <c r="AB32" s="122"/>
    </row>
    <row r="33" spans="1:31" ht="17.25" customHeight="1" x14ac:dyDescent="0.2">
      <c r="A33" s="144">
        <f>A30+1</f>
        <v>19</v>
      </c>
      <c r="B33" s="14" t="s">
        <v>241</v>
      </c>
      <c r="C33" s="145">
        <f>D33+K33+M33+O33+Q33+S33+U33+V33+W33+X33</f>
        <v>154110.42000000001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>
        <v>154110.42000000001</v>
      </c>
      <c r="X33" s="143"/>
      <c r="Y33" s="124"/>
      <c r="Z33" s="122"/>
      <c r="AA33" s="122"/>
      <c r="AB33" s="122"/>
    </row>
    <row r="34" spans="1:31" ht="17.25" customHeight="1" x14ac:dyDescent="0.2">
      <c r="A34" s="144">
        <f>A33+1</f>
        <v>20</v>
      </c>
      <c r="B34" s="14" t="s">
        <v>242</v>
      </c>
      <c r="C34" s="145">
        <f>D34+K34+M34+O34+Q34+S34+U34+V34+W34+X34</f>
        <v>153410.26</v>
      </c>
      <c r="D34" s="143">
        <v>0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>
        <v>153410.26</v>
      </c>
      <c r="X34" s="143"/>
      <c r="Y34" s="124"/>
      <c r="Z34" s="122"/>
      <c r="AA34" s="122"/>
      <c r="AB34" s="122"/>
    </row>
    <row r="35" spans="1:31" ht="17.25" customHeight="1" x14ac:dyDescent="0.2">
      <c r="A35" s="144">
        <f>A34+1</f>
        <v>21</v>
      </c>
      <c r="B35" s="14" t="s">
        <v>243</v>
      </c>
      <c r="C35" s="145">
        <f>D35+K35+M35+O35+Q35+S35+U35+V35+W35+X35</f>
        <v>153302.53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>
        <v>153302.53</v>
      </c>
      <c r="X35" s="143"/>
      <c r="Y35" s="124"/>
      <c r="Z35" s="122"/>
      <c r="AA35" s="122"/>
      <c r="AB35" s="122"/>
    </row>
    <row r="36" spans="1:31" ht="17.25" customHeight="1" x14ac:dyDescent="0.25">
      <c r="A36" s="203" t="s">
        <v>18</v>
      </c>
      <c r="B36" s="203"/>
      <c r="C36" s="143">
        <f>SUM(C33:C35)</f>
        <v>460823.21000000008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>
        <f>SUM(W33:W35)</f>
        <v>460823.21000000008</v>
      </c>
      <c r="X36" s="143"/>
      <c r="Y36" s="124"/>
      <c r="Z36" s="122"/>
      <c r="AA36" s="122"/>
      <c r="AB36" s="122"/>
    </row>
    <row r="37" spans="1:31" ht="17.25" customHeight="1" x14ac:dyDescent="0.25">
      <c r="A37" s="206" t="s">
        <v>187</v>
      </c>
      <c r="B37" s="206"/>
      <c r="C37" s="206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24"/>
      <c r="Z37" s="122"/>
      <c r="AA37" s="122"/>
      <c r="AB37" s="122"/>
    </row>
    <row r="38" spans="1:31" ht="17.25" customHeight="1" x14ac:dyDescent="0.25">
      <c r="A38" s="144">
        <f>A35+1</f>
        <v>22</v>
      </c>
      <c r="B38" s="5" t="s">
        <v>250</v>
      </c>
      <c r="C38" s="145">
        <f t="shared" ref="C38:C45" si="2">D38+K38+M38+O38+Q38+S38+U38+V38+W38+X38</f>
        <v>7423656.7599999998</v>
      </c>
      <c r="D38" s="143"/>
      <c r="E38" s="143"/>
      <c r="F38" s="143"/>
      <c r="G38" s="143"/>
      <c r="H38" s="143"/>
      <c r="I38" s="143"/>
      <c r="J38" s="143"/>
      <c r="K38" s="143"/>
      <c r="L38" s="143">
        <v>1516.5</v>
      </c>
      <c r="M38" s="143">
        <v>3273647.57</v>
      </c>
      <c r="N38" s="143"/>
      <c r="O38" s="143"/>
      <c r="P38" s="143">
        <v>527</v>
      </c>
      <c r="Q38" s="143">
        <v>4150009.19</v>
      </c>
      <c r="R38" s="143"/>
      <c r="S38" s="143"/>
      <c r="T38" s="143"/>
      <c r="U38" s="143"/>
      <c r="V38" s="143"/>
      <c r="W38" s="143"/>
      <c r="X38" s="143"/>
      <c r="Y38" s="124"/>
      <c r="Z38" s="122"/>
      <c r="AA38" s="122"/>
      <c r="AB38" s="122"/>
    </row>
    <row r="39" spans="1:31" ht="17.25" customHeight="1" x14ac:dyDescent="0.25">
      <c r="A39" s="144">
        <f t="shared" ref="A39:A45" si="3">A38+1</f>
        <v>23</v>
      </c>
      <c r="B39" s="5" t="s">
        <v>245</v>
      </c>
      <c r="C39" s="145">
        <f t="shared" si="2"/>
        <v>13016434.510000002</v>
      </c>
      <c r="D39" s="143"/>
      <c r="E39" s="143"/>
      <c r="F39" s="143"/>
      <c r="G39" s="143"/>
      <c r="H39" s="143"/>
      <c r="I39" s="143"/>
      <c r="J39" s="143"/>
      <c r="K39" s="143"/>
      <c r="L39" s="143">
        <v>3033</v>
      </c>
      <c r="M39" s="143">
        <v>6609899.1900000004</v>
      </c>
      <c r="N39" s="143"/>
      <c r="O39" s="143"/>
      <c r="P39" s="143">
        <v>632</v>
      </c>
      <c r="Q39" s="143">
        <v>6406535.3200000003</v>
      </c>
      <c r="R39" s="143"/>
      <c r="S39" s="143"/>
      <c r="T39" s="143"/>
      <c r="U39" s="143"/>
      <c r="V39" s="143"/>
      <c r="W39" s="143"/>
      <c r="X39" s="143"/>
      <c r="Y39" s="124"/>
      <c r="Z39" s="122"/>
      <c r="AA39" s="122"/>
      <c r="AB39" s="122"/>
    </row>
    <row r="40" spans="1:31" ht="17.25" customHeight="1" x14ac:dyDescent="0.25">
      <c r="A40" s="144">
        <f t="shared" si="3"/>
        <v>24</v>
      </c>
      <c r="B40" s="5" t="s">
        <v>244</v>
      </c>
      <c r="C40" s="145">
        <f t="shared" si="2"/>
        <v>8737427.6799999997</v>
      </c>
      <c r="D40" s="143"/>
      <c r="E40" s="143"/>
      <c r="F40" s="143"/>
      <c r="G40" s="143"/>
      <c r="H40" s="143"/>
      <c r="I40" s="143"/>
      <c r="J40" s="143"/>
      <c r="K40" s="143"/>
      <c r="L40" s="143">
        <v>2203</v>
      </c>
      <c r="M40" s="143">
        <v>4948666.2300000004</v>
      </c>
      <c r="N40" s="143"/>
      <c r="O40" s="143"/>
      <c r="P40" s="143">
        <v>426</v>
      </c>
      <c r="Q40" s="143">
        <v>3788761.45</v>
      </c>
      <c r="R40" s="143"/>
      <c r="S40" s="143"/>
      <c r="T40" s="143"/>
      <c r="U40" s="143"/>
      <c r="V40" s="143"/>
      <c r="W40" s="143"/>
      <c r="X40" s="143"/>
      <c r="Y40" s="124"/>
      <c r="Z40" s="122"/>
      <c r="AA40" s="122"/>
      <c r="AB40" s="122"/>
    </row>
    <row r="41" spans="1:31" ht="17.25" customHeight="1" x14ac:dyDescent="0.25">
      <c r="A41" s="144">
        <f t="shared" si="3"/>
        <v>25</v>
      </c>
      <c r="B41" s="5" t="s">
        <v>246</v>
      </c>
      <c r="C41" s="145">
        <f t="shared" si="2"/>
        <v>3636097.26</v>
      </c>
      <c r="D41" s="143"/>
      <c r="E41" s="143"/>
      <c r="F41" s="143"/>
      <c r="G41" s="143"/>
      <c r="H41" s="143"/>
      <c r="I41" s="143"/>
      <c r="J41" s="143"/>
      <c r="K41" s="143"/>
      <c r="L41" s="143">
        <v>715</v>
      </c>
      <c r="M41" s="143">
        <v>2570940.15</v>
      </c>
      <c r="N41" s="143"/>
      <c r="O41" s="143"/>
      <c r="P41" s="143">
        <v>888</v>
      </c>
      <c r="Q41" s="143">
        <v>1065157.1100000001</v>
      </c>
      <c r="R41" s="143"/>
      <c r="S41" s="143"/>
      <c r="T41" s="143"/>
      <c r="U41" s="143"/>
      <c r="V41" s="143"/>
      <c r="W41" s="143"/>
      <c r="X41" s="143"/>
      <c r="Y41" s="124"/>
      <c r="Z41" s="122"/>
      <c r="AA41" s="122"/>
      <c r="AB41" s="122"/>
    </row>
    <row r="42" spans="1:31" ht="17.25" customHeight="1" x14ac:dyDescent="0.25">
      <c r="A42" s="144">
        <f t="shared" si="3"/>
        <v>26</v>
      </c>
      <c r="B42" s="5" t="s">
        <v>249</v>
      </c>
      <c r="C42" s="145">
        <f t="shared" si="2"/>
        <v>2126617.9700000002</v>
      </c>
      <c r="D42" s="143"/>
      <c r="E42" s="143"/>
      <c r="F42" s="143"/>
      <c r="G42" s="143"/>
      <c r="H42" s="143"/>
      <c r="I42" s="143"/>
      <c r="J42" s="143"/>
      <c r="K42" s="143"/>
      <c r="L42" s="143">
        <v>715</v>
      </c>
      <c r="M42" s="143">
        <v>2126617.9700000002</v>
      </c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24"/>
      <c r="Z42" s="122"/>
      <c r="AA42" s="122"/>
      <c r="AB42" s="122"/>
    </row>
    <row r="43" spans="1:31" ht="17.25" customHeight="1" x14ac:dyDescent="0.25">
      <c r="A43" s="144">
        <f t="shared" si="3"/>
        <v>27</v>
      </c>
      <c r="B43" s="5" t="s">
        <v>247</v>
      </c>
      <c r="C43" s="145">
        <f t="shared" si="2"/>
        <v>3274937.82</v>
      </c>
      <c r="D43" s="143"/>
      <c r="E43" s="143"/>
      <c r="F43" s="143"/>
      <c r="G43" s="143"/>
      <c r="H43" s="143"/>
      <c r="I43" s="143"/>
      <c r="J43" s="143"/>
      <c r="K43" s="143"/>
      <c r="L43" s="143">
        <v>715</v>
      </c>
      <c r="M43" s="143">
        <v>2056906.66</v>
      </c>
      <c r="N43" s="143"/>
      <c r="O43" s="143"/>
      <c r="P43" s="143">
        <v>888</v>
      </c>
      <c r="Q43" s="143">
        <v>1218031.1599999999</v>
      </c>
      <c r="R43" s="143"/>
      <c r="S43" s="143"/>
      <c r="T43" s="143"/>
      <c r="U43" s="143"/>
      <c r="V43" s="143"/>
      <c r="W43" s="143"/>
      <c r="X43" s="143"/>
      <c r="Y43" s="124"/>
      <c r="Z43" s="122"/>
      <c r="AA43" s="122"/>
      <c r="AB43" s="122"/>
    </row>
    <row r="44" spans="1:31" ht="17.25" customHeight="1" x14ac:dyDescent="0.25">
      <c r="A44" s="144">
        <f t="shared" si="3"/>
        <v>28</v>
      </c>
      <c r="B44" s="5" t="s">
        <v>251</v>
      </c>
      <c r="C44" s="145">
        <f t="shared" si="2"/>
        <v>1220342.23</v>
      </c>
      <c r="D44" s="143"/>
      <c r="E44" s="143"/>
      <c r="F44" s="143"/>
      <c r="G44" s="143"/>
      <c r="H44" s="143"/>
      <c r="I44" s="143"/>
      <c r="J44" s="143"/>
      <c r="K44" s="143"/>
      <c r="L44" s="143">
        <v>885</v>
      </c>
      <c r="M44" s="143">
        <v>1220342.23</v>
      </c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24"/>
      <c r="Z44" s="122"/>
      <c r="AA44" s="122"/>
      <c r="AB44" s="122"/>
    </row>
    <row r="45" spans="1:31" ht="17.25" customHeight="1" x14ac:dyDescent="0.25">
      <c r="A45" s="144">
        <f t="shared" si="3"/>
        <v>29</v>
      </c>
      <c r="B45" s="5" t="s">
        <v>248</v>
      </c>
      <c r="C45" s="145">
        <f t="shared" si="2"/>
        <v>1577938.86</v>
      </c>
      <c r="D45" s="143"/>
      <c r="E45" s="143"/>
      <c r="F45" s="143"/>
      <c r="G45" s="143"/>
      <c r="H45" s="143"/>
      <c r="I45" s="143"/>
      <c r="J45" s="143"/>
      <c r="K45" s="143"/>
      <c r="L45" s="143">
        <v>580</v>
      </c>
      <c r="M45" s="143">
        <v>1577938.86</v>
      </c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24"/>
      <c r="Z45" s="122"/>
      <c r="AA45" s="122"/>
      <c r="AB45" s="122"/>
    </row>
    <row r="46" spans="1:31" ht="17.25" customHeight="1" x14ac:dyDescent="0.25">
      <c r="A46" s="203" t="s">
        <v>18</v>
      </c>
      <c r="B46" s="203"/>
      <c r="C46" s="145">
        <f>SUM(C38:C45)</f>
        <v>41013453.089999996</v>
      </c>
      <c r="D46" s="145"/>
      <c r="E46" s="145"/>
      <c r="F46" s="145"/>
      <c r="G46" s="145"/>
      <c r="H46" s="145"/>
      <c r="I46" s="145"/>
      <c r="J46" s="145"/>
      <c r="K46" s="145"/>
      <c r="L46" s="145">
        <f>SUM(L38:L45)</f>
        <v>10362.5</v>
      </c>
      <c r="M46" s="145">
        <f>SUM(M38:M45)</f>
        <v>24384958.859999999</v>
      </c>
      <c r="N46" s="145"/>
      <c r="O46" s="145"/>
      <c r="P46" s="145">
        <f>SUM(P38:P45)</f>
        <v>3361</v>
      </c>
      <c r="Q46" s="145">
        <f>SUM(Q38:Q45)</f>
        <v>16628494.23</v>
      </c>
      <c r="R46" s="145"/>
      <c r="S46" s="145"/>
      <c r="T46" s="145"/>
      <c r="U46" s="145"/>
      <c r="V46" s="145"/>
      <c r="W46" s="145"/>
      <c r="X46" s="145">
        <f>SUM(X38:X45)</f>
        <v>0</v>
      </c>
      <c r="Y46" s="124"/>
      <c r="Z46" s="122"/>
      <c r="AA46" s="122"/>
      <c r="AB46" s="122"/>
      <c r="AE46" s="123"/>
    </row>
    <row r="47" spans="1:31" ht="17.25" customHeight="1" x14ac:dyDescent="0.25">
      <c r="A47" s="188" t="s">
        <v>123</v>
      </c>
      <c r="B47" s="188"/>
      <c r="C47" s="188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24"/>
      <c r="Z47" s="122"/>
      <c r="AA47" s="122"/>
      <c r="AB47" s="122"/>
    </row>
    <row r="48" spans="1:31" ht="17.25" customHeight="1" x14ac:dyDescent="0.25">
      <c r="A48" s="144">
        <f>A45+1</f>
        <v>30</v>
      </c>
      <c r="B48" s="5" t="s">
        <v>252</v>
      </c>
      <c r="C48" s="145">
        <f>D48+K48+M48+O48+Q48+S48+U48+V48+W48+X48</f>
        <v>3556819</v>
      </c>
      <c r="D48" s="143">
        <f>E48+F48+G48+H48+I48</f>
        <v>3556819</v>
      </c>
      <c r="E48" s="143"/>
      <c r="F48" s="143">
        <v>1980552</v>
      </c>
      <c r="G48" s="143">
        <v>241224</v>
      </c>
      <c r="H48" s="143">
        <v>1335043</v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24"/>
      <c r="Z48" s="122"/>
      <c r="AA48" s="122"/>
      <c r="AB48" s="122"/>
    </row>
    <row r="49" spans="1:31" ht="17.25" customHeight="1" x14ac:dyDescent="0.25">
      <c r="A49" s="203" t="s">
        <v>18</v>
      </c>
      <c r="B49" s="203"/>
      <c r="C49" s="143">
        <f>SUM(C48)</f>
        <v>3556819</v>
      </c>
      <c r="D49" s="143">
        <f>SUM(D48)</f>
        <v>3556819</v>
      </c>
      <c r="E49" s="143"/>
      <c r="F49" s="143">
        <f>SUM(F48)</f>
        <v>1980552</v>
      </c>
      <c r="G49" s="143">
        <f>SUM(G48)</f>
        <v>241224</v>
      </c>
      <c r="H49" s="143">
        <f>SUM(H48)</f>
        <v>1335043</v>
      </c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>
        <f>SUM(X48)</f>
        <v>0</v>
      </c>
      <c r="Y49" s="124"/>
      <c r="Z49" s="122"/>
      <c r="AA49" s="122"/>
      <c r="AB49" s="122"/>
      <c r="AE49" s="123"/>
    </row>
    <row r="50" spans="1:31" ht="17.25" customHeight="1" x14ac:dyDescent="0.25">
      <c r="A50" s="188" t="s">
        <v>124</v>
      </c>
      <c r="B50" s="188"/>
      <c r="C50" s="149">
        <f>C27+C36+C31+C49+C46</f>
        <v>70667213.49000001</v>
      </c>
      <c r="D50" s="149">
        <f>D27+D36+D31+D49+D46</f>
        <v>7222122.5800000001</v>
      </c>
      <c r="E50" s="149"/>
      <c r="F50" s="149">
        <f>F27+F36+F31+F49+F46</f>
        <v>3788063.2199999997</v>
      </c>
      <c r="G50" s="149">
        <f>G27+G36+G31+G49+G46</f>
        <v>1071666.8799999999</v>
      </c>
      <c r="H50" s="149">
        <f>H27+H36+H31+H49+H46</f>
        <v>2362392.48</v>
      </c>
      <c r="I50" s="149"/>
      <c r="J50" s="149"/>
      <c r="K50" s="149"/>
      <c r="L50" s="149">
        <f>L27+L36+L31+L49+L46</f>
        <v>13567.5</v>
      </c>
      <c r="M50" s="149">
        <f>M27+M36+M31+M49+M46</f>
        <v>35465634.899999999</v>
      </c>
      <c r="N50" s="149"/>
      <c r="O50" s="149"/>
      <c r="P50" s="149">
        <f>P27+P36+P31+P49+P46</f>
        <v>5219.28</v>
      </c>
      <c r="Q50" s="149">
        <f>Q27+Q36+Q31+Q49+Q46</f>
        <v>19090696.34</v>
      </c>
      <c r="R50" s="149"/>
      <c r="S50" s="149"/>
      <c r="T50" s="149"/>
      <c r="U50" s="149"/>
      <c r="V50" s="149"/>
      <c r="W50" s="149">
        <f>W27+W36+W31+W49+W46</f>
        <v>8888758.6700000018</v>
      </c>
      <c r="X50" s="149">
        <f>X27+X36+X31+X49+X46</f>
        <v>0</v>
      </c>
      <c r="Y50" s="124"/>
      <c r="Z50" s="122"/>
      <c r="AA50" s="122"/>
      <c r="AB50" s="122"/>
    </row>
    <row r="51" spans="1:31" ht="12.75" customHeight="1" x14ac:dyDescent="0.25">
      <c r="A51" s="204" t="s">
        <v>125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124"/>
      <c r="Z51" s="122"/>
      <c r="AB51" s="122"/>
    </row>
    <row r="52" spans="1:31" ht="15.75" customHeight="1" x14ac:dyDescent="0.25">
      <c r="A52" s="188" t="s">
        <v>126</v>
      </c>
      <c r="B52" s="188"/>
      <c r="C52" s="188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124"/>
      <c r="Z52" s="122"/>
      <c r="AB52" s="122"/>
    </row>
    <row r="53" spans="1:31" ht="15.75" customHeight="1" x14ac:dyDescent="0.25">
      <c r="A53" s="147">
        <f>A48+1</f>
        <v>31</v>
      </c>
      <c r="B53" s="5" t="s">
        <v>253</v>
      </c>
      <c r="C53" s="145">
        <f>D53+K53+M53+O53+Q53+S53+U53+V53+W53+X53</f>
        <v>1203311.1399999999</v>
      </c>
      <c r="D53" s="145"/>
      <c r="E53" s="145"/>
      <c r="F53" s="145"/>
      <c r="G53" s="145"/>
      <c r="H53" s="145"/>
      <c r="I53" s="145"/>
      <c r="J53" s="145"/>
      <c r="K53" s="145"/>
      <c r="L53" s="145">
        <v>988</v>
      </c>
      <c r="M53" s="145">
        <v>1203311.1399999999</v>
      </c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24"/>
      <c r="Z53" s="122"/>
      <c r="AB53" s="122"/>
    </row>
    <row r="54" spans="1:31" ht="15.75" customHeight="1" x14ac:dyDescent="0.25">
      <c r="A54" s="203" t="s">
        <v>18</v>
      </c>
      <c r="B54" s="203"/>
      <c r="C54" s="143">
        <f>SUM(C53:C53)</f>
        <v>1203311.1399999999</v>
      </c>
      <c r="D54" s="143"/>
      <c r="E54" s="143"/>
      <c r="F54" s="143"/>
      <c r="G54" s="143"/>
      <c r="H54" s="143"/>
      <c r="I54" s="143"/>
      <c r="J54" s="143"/>
      <c r="K54" s="143"/>
      <c r="L54" s="143">
        <f>SUM(L53:L53)</f>
        <v>988</v>
      </c>
      <c r="M54" s="143">
        <f>SUM(M53:M53)</f>
        <v>1203311.1399999999</v>
      </c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>
        <f>SUM(X53:X53)</f>
        <v>0</v>
      </c>
      <c r="Y54" s="124"/>
      <c r="Z54" s="122"/>
      <c r="AA54" s="122"/>
      <c r="AB54" s="122"/>
      <c r="AE54" s="123"/>
    </row>
    <row r="55" spans="1:31" ht="15.75" customHeight="1" x14ac:dyDescent="0.25">
      <c r="A55" s="188" t="s">
        <v>127</v>
      </c>
      <c r="B55" s="188"/>
      <c r="C55" s="188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124"/>
      <c r="Z55" s="122"/>
      <c r="AB55" s="122"/>
    </row>
    <row r="56" spans="1:31" ht="15.75" customHeight="1" x14ac:dyDescent="0.25">
      <c r="A56" s="147">
        <f>A53+1</f>
        <v>32</v>
      </c>
      <c r="B56" s="5" t="s">
        <v>254</v>
      </c>
      <c r="C56" s="145">
        <f>D56+K56+M56+O56+Q56+S56+U56+V56+W56+X56</f>
        <v>9248388.9800000004</v>
      </c>
      <c r="D56" s="145"/>
      <c r="E56" s="145"/>
      <c r="F56" s="145"/>
      <c r="G56" s="145"/>
      <c r="H56" s="145"/>
      <c r="I56" s="145"/>
      <c r="J56" s="145"/>
      <c r="K56" s="145"/>
      <c r="L56" s="22">
        <v>1470</v>
      </c>
      <c r="M56" s="145">
        <v>3460564.24</v>
      </c>
      <c r="N56" s="145"/>
      <c r="O56" s="145"/>
      <c r="P56" s="145">
        <v>4318</v>
      </c>
      <c r="Q56" s="145">
        <v>5787824.7400000002</v>
      </c>
      <c r="R56" s="145"/>
      <c r="S56" s="145"/>
      <c r="T56" s="145"/>
      <c r="U56" s="145"/>
      <c r="V56" s="145"/>
      <c r="W56" s="145"/>
      <c r="X56" s="145"/>
      <c r="Y56" s="124"/>
      <c r="Z56" s="122"/>
      <c r="AA56" s="122"/>
      <c r="AB56" s="122"/>
    </row>
    <row r="57" spans="1:31" ht="15.75" customHeight="1" x14ac:dyDescent="0.25">
      <c r="A57" s="147">
        <f>A56+1</f>
        <v>33</v>
      </c>
      <c r="B57" s="5" t="s">
        <v>256</v>
      </c>
      <c r="C57" s="145">
        <f>D57+K57+M57+O57+Q57+S57+U57+V57+W57+X57</f>
        <v>4729937.37</v>
      </c>
      <c r="D57" s="145"/>
      <c r="E57" s="145"/>
      <c r="F57" s="145"/>
      <c r="G57" s="145"/>
      <c r="H57" s="145"/>
      <c r="I57" s="145"/>
      <c r="J57" s="145"/>
      <c r="K57" s="145"/>
      <c r="L57" s="22">
        <v>623</v>
      </c>
      <c r="M57" s="145">
        <v>3400685.14</v>
      </c>
      <c r="N57" s="145"/>
      <c r="O57" s="145"/>
      <c r="P57" s="145">
        <v>784</v>
      </c>
      <c r="Q57" s="145">
        <v>1329252.23</v>
      </c>
      <c r="R57" s="145"/>
      <c r="S57" s="145"/>
      <c r="T57" s="145"/>
      <c r="U57" s="145"/>
      <c r="V57" s="145"/>
      <c r="W57" s="145"/>
      <c r="X57" s="145"/>
      <c r="Y57" s="124"/>
      <c r="Z57" s="122"/>
      <c r="AA57" s="122"/>
      <c r="AB57" s="122"/>
    </row>
    <row r="58" spans="1:31" ht="15.75" customHeight="1" x14ac:dyDescent="0.25">
      <c r="A58" s="203" t="s">
        <v>18</v>
      </c>
      <c r="B58" s="203"/>
      <c r="C58" s="145">
        <f>SUM(C56:C57)</f>
        <v>13978326.350000001</v>
      </c>
      <c r="D58" s="145"/>
      <c r="E58" s="145"/>
      <c r="F58" s="145"/>
      <c r="G58" s="145"/>
      <c r="H58" s="145"/>
      <c r="I58" s="145"/>
      <c r="J58" s="145"/>
      <c r="K58" s="145"/>
      <c r="L58" s="145">
        <f>SUM(L56:L57)</f>
        <v>2093</v>
      </c>
      <c r="M58" s="145">
        <f>SUM(M56:M57)</f>
        <v>6861249.3800000008</v>
      </c>
      <c r="N58" s="145"/>
      <c r="O58" s="145"/>
      <c r="P58" s="145">
        <f>SUM(P56:P57)</f>
        <v>5102</v>
      </c>
      <c r="Q58" s="145">
        <f>SUM(Q56:Q57)</f>
        <v>7117076.9700000007</v>
      </c>
      <c r="R58" s="145"/>
      <c r="S58" s="145"/>
      <c r="T58" s="145"/>
      <c r="U58" s="145"/>
      <c r="V58" s="145"/>
      <c r="W58" s="145"/>
      <c r="X58" s="145">
        <f>SUM(X56:X57)</f>
        <v>0</v>
      </c>
      <c r="Y58" s="124"/>
      <c r="Z58" s="122"/>
      <c r="AA58" s="122"/>
      <c r="AB58" s="122"/>
      <c r="AE58" s="123"/>
    </row>
    <row r="59" spans="1:31" ht="15.75" customHeight="1" x14ac:dyDescent="0.25">
      <c r="A59" s="188" t="s">
        <v>128</v>
      </c>
      <c r="B59" s="188"/>
      <c r="C59" s="188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124"/>
      <c r="Z59" s="122"/>
      <c r="AB59" s="122"/>
    </row>
    <row r="60" spans="1:31" ht="15.75" customHeight="1" x14ac:dyDescent="0.25">
      <c r="A60" s="147">
        <f>A57+1</f>
        <v>34</v>
      </c>
      <c r="B60" s="5" t="s">
        <v>257</v>
      </c>
      <c r="C60" s="145">
        <f>D60+K60+M60+O60+Q60+S60+U60+V60+W60+X60</f>
        <v>1734558.51</v>
      </c>
      <c r="D60" s="145"/>
      <c r="E60" s="145"/>
      <c r="F60" s="145"/>
      <c r="G60" s="145"/>
      <c r="H60" s="145"/>
      <c r="I60" s="145"/>
      <c r="J60" s="145"/>
      <c r="K60" s="145"/>
      <c r="L60" s="145">
        <v>696</v>
      </c>
      <c r="M60" s="145">
        <v>1734558.51</v>
      </c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24"/>
      <c r="Z60" s="122"/>
      <c r="AB60" s="122"/>
    </row>
    <row r="61" spans="1:31" ht="15.75" customHeight="1" x14ac:dyDescent="0.25">
      <c r="A61" s="203" t="s">
        <v>18</v>
      </c>
      <c r="B61" s="203"/>
      <c r="C61" s="145">
        <f>SUM(C60:C60)</f>
        <v>1734558.51</v>
      </c>
      <c r="D61" s="145"/>
      <c r="E61" s="145"/>
      <c r="F61" s="145"/>
      <c r="G61" s="145"/>
      <c r="H61" s="145"/>
      <c r="I61" s="145"/>
      <c r="J61" s="145"/>
      <c r="K61" s="145"/>
      <c r="L61" s="145">
        <f>SUM(L60:L60)</f>
        <v>696</v>
      </c>
      <c r="M61" s="145">
        <f>SUM(M60:M60)</f>
        <v>1734558.51</v>
      </c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>
        <f>SUM(X60:X60)</f>
        <v>0</v>
      </c>
      <c r="Y61" s="124"/>
      <c r="Z61" s="122"/>
      <c r="AA61" s="122"/>
      <c r="AB61" s="122"/>
    </row>
    <row r="62" spans="1:31" ht="15.75" customHeight="1" x14ac:dyDescent="0.25">
      <c r="A62" s="189" t="s">
        <v>129</v>
      </c>
      <c r="B62" s="189"/>
      <c r="C62" s="189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24"/>
      <c r="Z62" s="122"/>
      <c r="AB62" s="122"/>
    </row>
    <row r="63" spans="1:31" ht="15.75" customHeight="1" x14ac:dyDescent="0.25">
      <c r="A63" s="144">
        <f>A60+1</f>
        <v>35</v>
      </c>
      <c r="B63" s="5" t="s">
        <v>258</v>
      </c>
      <c r="C63" s="145">
        <f>D63+K63+M63+O63+Q63+S63+U63+V63+W63+X63</f>
        <v>1680132.92</v>
      </c>
      <c r="D63" s="145"/>
      <c r="E63" s="145"/>
      <c r="F63" s="145"/>
      <c r="G63" s="145"/>
      <c r="H63" s="145"/>
      <c r="I63" s="145"/>
      <c r="J63" s="145"/>
      <c r="K63" s="145"/>
      <c r="L63" s="145">
        <v>754</v>
      </c>
      <c r="M63" s="145">
        <v>1680132.92</v>
      </c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24"/>
      <c r="Z63" s="122"/>
      <c r="AB63" s="122"/>
    </row>
    <row r="64" spans="1:31" ht="15.75" customHeight="1" x14ac:dyDescent="0.25">
      <c r="A64" s="144">
        <f>A63+1</f>
        <v>36</v>
      </c>
      <c r="B64" s="5" t="s">
        <v>259</v>
      </c>
      <c r="C64" s="145">
        <f>D64+K64+M64+O64+Q64+S64+U64+V64+W64+X64</f>
        <v>1680132.92</v>
      </c>
      <c r="D64" s="145"/>
      <c r="E64" s="145"/>
      <c r="F64" s="145"/>
      <c r="G64" s="145"/>
      <c r="H64" s="145"/>
      <c r="I64" s="145"/>
      <c r="J64" s="145"/>
      <c r="K64" s="145"/>
      <c r="L64" s="145">
        <v>754</v>
      </c>
      <c r="M64" s="145">
        <v>1680132.92</v>
      </c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24"/>
      <c r="Z64" s="122"/>
      <c r="AB64" s="122"/>
    </row>
    <row r="65" spans="1:31" ht="15.75" customHeight="1" x14ac:dyDescent="0.25">
      <c r="A65" s="144">
        <f>A64+1</f>
        <v>37</v>
      </c>
      <c r="B65" s="5" t="s">
        <v>260</v>
      </c>
      <c r="C65" s="145">
        <f>D65+K65+M65+O65+Q65+S65+U65+V65+W65+X65</f>
        <v>7934714</v>
      </c>
      <c r="D65" s="145"/>
      <c r="E65" s="145"/>
      <c r="F65" s="145"/>
      <c r="G65" s="145"/>
      <c r="H65" s="145"/>
      <c r="I65" s="145"/>
      <c r="J65" s="145"/>
      <c r="K65" s="145"/>
      <c r="L65" s="145">
        <v>1300</v>
      </c>
      <c r="M65" s="145">
        <v>7934714</v>
      </c>
      <c r="N65" s="145"/>
      <c r="O65" s="145"/>
      <c r="P65" s="145"/>
      <c r="Q65" s="145"/>
      <c r="R65" s="145"/>
      <c r="S65" s="145"/>
      <c r="T65" s="145"/>
      <c r="U65" s="145"/>
      <c r="V65" s="145"/>
      <c r="W65" s="143"/>
      <c r="X65" s="143"/>
      <c r="Y65" s="124"/>
      <c r="Z65" s="122"/>
      <c r="AB65" s="122"/>
    </row>
    <row r="66" spans="1:31" ht="15.75" customHeight="1" x14ac:dyDescent="0.25">
      <c r="A66" s="203" t="s">
        <v>18</v>
      </c>
      <c r="B66" s="203"/>
      <c r="C66" s="145">
        <f>SUM(C63:C65)</f>
        <v>11294979.84</v>
      </c>
      <c r="D66" s="145"/>
      <c r="E66" s="145"/>
      <c r="F66" s="145"/>
      <c r="G66" s="145"/>
      <c r="H66" s="145"/>
      <c r="I66" s="145"/>
      <c r="J66" s="145"/>
      <c r="K66" s="145"/>
      <c r="L66" s="145">
        <f>SUM(L63:L65)</f>
        <v>2808</v>
      </c>
      <c r="M66" s="145">
        <f>SUM(M63:M65)</f>
        <v>11294979.84</v>
      </c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>
        <f>SUM(X63:X65)</f>
        <v>0</v>
      </c>
      <c r="Y66" s="124"/>
      <c r="Z66" s="122"/>
      <c r="AA66" s="122"/>
      <c r="AB66" s="122"/>
    </row>
    <row r="67" spans="1:31" ht="15.75" customHeight="1" x14ac:dyDescent="0.25">
      <c r="A67" s="189" t="s">
        <v>130</v>
      </c>
      <c r="B67" s="189"/>
      <c r="C67" s="189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24"/>
      <c r="Z67" s="122"/>
      <c r="AB67" s="122"/>
    </row>
    <row r="68" spans="1:31" ht="15.75" customHeight="1" x14ac:dyDescent="0.25">
      <c r="A68" s="144">
        <f>A65+1</f>
        <v>38</v>
      </c>
      <c r="B68" s="24" t="s">
        <v>261</v>
      </c>
      <c r="C68" s="145">
        <f>D68+K68+M68+O68+Q68+S68+U68+V68+W68+X68</f>
        <v>1611880.38</v>
      </c>
      <c r="D68" s="145"/>
      <c r="E68" s="145"/>
      <c r="F68" s="145"/>
      <c r="G68" s="145"/>
      <c r="H68" s="145"/>
      <c r="I68" s="145"/>
      <c r="J68" s="145"/>
      <c r="K68" s="145"/>
      <c r="L68" s="145">
        <v>806</v>
      </c>
      <c r="M68" s="145">
        <v>1611880.38</v>
      </c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24"/>
      <c r="Z68" s="122"/>
      <c r="AB68" s="122"/>
    </row>
    <row r="69" spans="1:31" ht="15.75" customHeight="1" x14ac:dyDescent="0.25">
      <c r="A69" s="203" t="s">
        <v>18</v>
      </c>
      <c r="B69" s="203"/>
      <c r="C69" s="145">
        <f>SUM(C68)</f>
        <v>1611880.38</v>
      </c>
      <c r="D69" s="145"/>
      <c r="E69" s="145"/>
      <c r="F69" s="145"/>
      <c r="G69" s="145"/>
      <c r="H69" s="145"/>
      <c r="I69" s="145"/>
      <c r="J69" s="145"/>
      <c r="K69" s="145"/>
      <c r="L69" s="145">
        <f>SUM(L68)</f>
        <v>806</v>
      </c>
      <c r="M69" s="145">
        <f>SUM(M68)</f>
        <v>1611880.38</v>
      </c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>
        <f>SUM(X68)</f>
        <v>0</v>
      </c>
      <c r="Y69" s="124"/>
      <c r="Z69" s="122"/>
      <c r="AA69" s="122"/>
      <c r="AB69" s="122"/>
      <c r="AE69" s="123"/>
    </row>
    <row r="70" spans="1:31" ht="15.75" customHeight="1" x14ac:dyDescent="0.25">
      <c r="A70" s="189" t="s">
        <v>263</v>
      </c>
      <c r="B70" s="189"/>
      <c r="C70" s="189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24"/>
      <c r="Z70" s="122"/>
      <c r="AB70" s="122"/>
    </row>
    <row r="71" spans="1:31" ht="15.75" customHeight="1" x14ac:dyDescent="0.25">
      <c r="A71" s="147">
        <f>A68+1</f>
        <v>39</v>
      </c>
      <c r="B71" s="5" t="s">
        <v>262</v>
      </c>
      <c r="C71" s="145">
        <f>D71+K71+M71+O71+Q71+S71+U71+V71+W71+X71</f>
        <v>969979.9</v>
      </c>
      <c r="D71" s="143"/>
      <c r="E71" s="143"/>
      <c r="F71" s="143"/>
      <c r="G71" s="143"/>
      <c r="H71" s="143"/>
      <c r="I71" s="143"/>
      <c r="J71" s="143"/>
      <c r="K71" s="145"/>
      <c r="L71" s="145"/>
      <c r="M71" s="143"/>
      <c r="N71" s="143"/>
      <c r="O71" s="145"/>
      <c r="P71" s="145"/>
      <c r="Q71" s="145"/>
      <c r="R71" s="145"/>
      <c r="S71" s="145"/>
      <c r="T71" s="145"/>
      <c r="U71" s="145"/>
      <c r="V71" s="145"/>
      <c r="W71" s="145">
        <v>969979.9</v>
      </c>
      <c r="X71" s="145"/>
      <c r="Y71" s="124"/>
      <c r="Z71" s="122"/>
      <c r="AB71" s="122"/>
    </row>
    <row r="72" spans="1:31" ht="15.75" customHeight="1" x14ac:dyDescent="0.25">
      <c r="A72" s="203" t="s">
        <v>18</v>
      </c>
      <c r="B72" s="203"/>
      <c r="C72" s="145">
        <f>SUM(C71)</f>
        <v>969979.9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>
        <f>SUM(W71)</f>
        <v>969979.9</v>
      </c>
      <c r="X72" s="145"/>
      <c r="Y72" s="124"/>
      <c r="Z72" s="122"/>
      <c r="AA72" s="122"/>
      <c r="AB72" s="122"/>
    </row>
    <row r="73" spans="1:31" ht="15.75" customHeight="1" x14ac:dyDescent="0.25">
      <c r="A73" s="188" t="s">
        <v>132</v>
      </c>
      <c r="B73" s="188"/>
      <c r="C73" s="149">
        <f>C54+C58+C61+C72+C66+C69</f>
        <v>30793036.120000001</v>
      </c>
      <c r="D73" s="149"/>
      <c r="E73" s="149"/>
      <c r="F73" s="149"/>
      <c r="G73" s="149"/>
      <c r="H73" s="149"/>
      <c r="I73" s="149"/>
      <c r="J73" s="149"/>
      <c r="K73" s="149"/>
      <c r="L73" s="149">
        <f>L54+L58+L61+L72+L66+L69</f>
        <v>7391</v>
      </c>
      <c r="M73" s="149">
        <f>M54+M58+M61+M72+M66+M69</f>
        <v>22705979.25</v>
      </c>
      <c r="N73" s="149"/>
      <c r="O73" s="149"/>
      <c r="P73" s="149">
        <f>P54+P58+P61+P72+P66+P69</f>
        <v>5102</v>
      </c>
      <c r="Q73" s="149">
        <f>Q54+Q58+Q61+Q72+Q66+Q69</f>
        <v>7117076.9700000007</v>
      </c>
      <c r="R73" s="149"/>
      <c r="S73" s="149"/>
      <c r="T73" s="149"/>
      <c r="U73" s="149"/>
      <c r="V73" s="149"/>
      <c r="W73" s="149">
        <f>W54+W58+W61+W72+W66+W69</f>
        <v>969979.9</v>
      </c>
      <c r="X73" s="149">
        <f>X54+X58+X61+X72+X66+X69</f>
        <v>0</v>
      </c>
      <c r="Y73" s="124"/>
      <c r="Z73" s="122"/>
      <c r="AA73" s="122"/>
      <c r="AB73" s="122"/>
    </row>
    <row r="74" spans="1:31" ht="12.75" customHeight="1" x14ac:dyDescent="0.25">
      <c r="A74" s="204" t="s">
        <v>16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124"/>
      <c r="Z74" s="122"/>
      <c r="AB74" s="122"/>
    </row>
    <row r="75" spans="1:31" ht="15.75" customHeight="1" x14ac:dyDescent="0.25">
      <c r="A75" s="205" t="s">
        <v>17</v>
      </c>
      <c r="B75" s="205"/>
      <c r="C75" s="20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24"/>
      <c r="Z75" s="122"/>
      <c r="AB75" s="122"/>
    </row>
    <row r="76" spans="1:31" ht="15.75" customHeight="1" x14ac:dyDescent="0.25">
      <c r="A76" s="144">
        <f>A71+1</f>
        <v>40</v>
      </c>
      <c r="B76" s="5" t="s">
        <v>264</v>
      </c>
      <c r="C76" s="145">
        <f>D76+K76+M76+O76+Q76+S76+U76+V76+W76+X76</f>
        <v>3637903.88</v>
      </c>
      <c r="D76" s="145"/>
      <c r="E76" s="143"/>
      <c r="F76" s="145"/>
      <c r="G76" s="145"/>
      <c r="H76" s="145"/>
      <c r="I76" s="145"/>
      <c r="J76" s="142"/>
      <c r="K76" s="142"/>
      <c r="L76" s="100"/>
      <c r="M76" s="145"/>
      <c r="N76" s="145"/>
      <c r="O76" s="145"/>
      <c r="P76" s="100">
        <v>2356</v>
      </c>
      <c r="Q76" s="145">
        <v>2820477.88</v>
      </c>
      <c r="R76" s="142"/>
      <c r="S76" s="142"/>
      <c r="T76" s="145"/>
      <c r="U76" s="145"/>
      <c r="V76" s="142"/>
      <c r="W76" s="145">
        <f>473226.95+344199.05</f>
        <v>817426</v>
      </c>
      <c r="X76" s="143"/>
      <c r="Y76" s="124"/>
      <c r="Z76" s="122"/>
      <c r="AA76" s="122"/>
      <c r="AB76" s="122"/>
    </row>
    <row r="77" spans="1:31" ht="15.75" customHeight="1" x14ac:dyDescent="0.25">
      <c r="A77" s="144">
        <f>A76+1</f>
        <v>41</v>
      </c>
      <c r="B77" s="5" t="s">
        <v>265</v>
      </c>
      <c r="C77" s="145">
        <f>D77+K77+M77+O77+Q77+S77+U77+V77+W77+X77</f>
        <v>3917454.12</v>
      </c>
      <c r="D77" s="145"/>
      <c r="E77" s="143"/>
      <c r="F77" s="145"/>
      <c r="G77" s="145"/>
      <c r="H77" s="145"/>
      <c r="I77" s="145"/>
      <c r="J77" s="142"/>
      <c r="K77" s="142"/>
      <c r="L77" s="100"/>
      <c r="M77" s="145"/>
      <c r="N77" s="145"/>
      <c r="O77" s="145"/>
      <c r="P77" s="100">
        <v>2356</v>
      </c>
      <c r="Q77" s="145">
        <v>3100028.12</v>
      </c>
      <c r="R77" s="142"/>
      <c r="S77" s="142"/>
      <c r="T77" s="145"/>
      <c r="U77" s="145"/>
      <c r="V77" s="142"/>
      <c r="W77" s="145">
        <v>817426</v>
      </c>
      <c r="X77" s="143"/>
      <c r="Y77" s="124"/>
      <c r="Z77" s="122"/>
      <c r="AA77" s="122"/>
      <c r="AB77" s="122"/>
    </row>
    <row r="78" spans="1:31" ht="15.75" customHeight="1" x14ac:dyDescent="0.25">
      <c r="A78" s="144">
        <f>A77+1</f>
        <v>42</v>
      </c>
      <c r="B78" s="5" t="s">
        <v>266</v>
      </c>
      <c r="C78" s="145">
        <f>D78+K78+M78+O78+Q78+S78+U78+V78+W78+X78</f>
        <v>3925553.23</v>
      </c>
      <c r="D78" s="145"/>
      <c r="E78" s="143"/>
      <c r="F78" s="145"/>
      <c r="G78" s="145"/>
      <c r="H78" s="145"/>
      <c r="I78" s="145"/>
      <c r="J78" s="142"/>
      <c r="K78" s="142"/>
      <c r="L78" s="100"/>
      <c r="M78" s="145"/>
      <c r="N78" s="145"/>
      <c r="O78" s="145"/>
      <c r="P78" s="100">
        <v>2450</v>
      </c>
      <c r="Q78" s="145">
        <v>3097474.23</v>
      </c>
      <c r="R78" s="142"/>
      <c r="S78" s="142"/>
      <c r="T78" s="145"/>
      <c r="U78" s="145"/>
      <c r="V78" s="142"/>
      <c r="W78" s="145">
        <v>828079</v>
      </c>
      <c r="X78" s="143"/>
      <c r="Y78" s="124"/>
      <c r="Z78" s="122"/>
      <c r="AA78" s="122"/>
      <c r="AB78" s="122"/>
    </row>
    <row r="79" spans="1:31" ht="15.75" customHeight="1" x14ac:dyDescent="0.25">
      <c r="A79" s="144">
        <f>A78+1</f>
        <v>43</v>
      </c>
      <c r="B79" s="5" t="s">
        <v>267</v>
      </c>
      <c r="C79" s="145">
        <f>D79+K79+M79+O79+Q79+S79+U79+V79+W79+X79</f>
        <v>3851016.54</v>
      </c>
      <c r="D79" s="145"/>
      <c r="E79" s="143"/>
      <c r="F79" s="145"/>
      <c r="G79" s="145"/>
      <c r="H79" s="145"/>
      <c r="I79" s="145"/>
      <c r="J79" s="142"/>
      <c r="K79" s="142"/>
      <c r="L79" s="100"/>
      <c r="M79" s="145"/>
      <c r="N79" s="145"/>
      <c r="O79" s="145"/>
      <c r="P79" s="100">
        <v>2450</v>
      </c>
      <c r="Q79" s="145">
        <v>3022937.54</v>
      </c>
      <c r="R79" s="142"/>
      <c r="S79" s="142"/>
      <c r="T79" s="145"/>
      <c r="U79" s="145"/>
      <c r="V79" s="142"/>
      <c r="W79" s="145">
        <v>828079</v>
      </c>
      <c r="X79" s="143"/>
      <c r="Y79" s="124"/>
      <c r="Z79" s="122"/>
      <c r="AA79" s="122"/>
      <c r="AB79" s="122"/>
    </row>
    <row r="80" spans="1:31" ht="15.75" customHeight="1" x14ac:dyDescent="0.25">
      <c r="A80" s="203" t="s">
        <v>18</v>
      </c>
      <c r="B80" s="203"/>
      <c r="C80" s="145">
        <f>SUM(C76:C79)</f>
        <v>15331927.77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>
        <f>SUM(P76:P79)</f>
        <v>9612</v>
      </c>
      <c r="Q80" s="145">
        <f>SUM(Q76:Q79)</f>
        <v>12040917.77</v>
      </c>
      <c r="R80" s="145"/>
      <c r="S80" s="145"/>
      <c r="T80" s="145"/>
      <c r="U80" s="145"/>
      <c r="V80" s="145"/>
      <c r="W80" s="145">
        <f>SUM(W76:W79)</f>
        <v>3291010</v>
      </c>
      <c r="X80" s="145">
        <f>SUM(X76:X79)</f>
        <v>0</v>
      </c>
      <c r="Y80" s="124"/>
      <c r="Z80" s="122"/>
      <c r="AA80" s="122"/>
      <c r="AB80" s="122"/>
      <c r="AE80" s="123"/>
    </row>
    <row r="81" spans="1:31" ht="15.75" customHeight="1" x14ac:dyDescent="0.25">
      <c r="A81" s="188" t="s">
        <v>19</v>
      </c>
      <c r="B81" s="188"/>
      <c r="C81" s="188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24"/>
      <c r="Z81" s="122"/>
      <c r="AB81" s="122"/>
    </row>
    <row r="82" spans="1:31" ht="15.75" customHeight="1" x14ac:dyDescent="0.25">
      <c r="A82" s="147">
        <f>A79+1</f>
        <v>44</v>
      </c>
      <c r="B82" s="5" t="s">
        <v>280</v>
      </c>
      <c r="C82" s="145">
        <f>D82+K82+M82+O82+Q82+S82+U82+V82+W82+X82</f>
        <v>4498813.62</v>
      </c>
      <c r="D82" s="145"/>
      <c r="E82" s="145"/>
      <c r="F82" s="145"/>
      <c r="G82" s="145"/>
      <c r="H82" s="145"/>
      <c r="I82" s="145"/>
      <c r="J82" s="144">
        <v>2</v>
      </c>
      <c r="K82" s="145">
        <v>4498813.62</v>
      </c>
      <c r="L82" s="145"/>
      <c r="M82" s="145"/>
      <c r="N82" s="143"/>
      <c r="O82" s="145"/>
      <c r="P82" s="145"/>
      <c r="Q82" s="145"/>
      <c r="R82" s="145"/>
      <c r="S82" s="145"/>
      <c r="T82" s="145"/>
      <c r="U82" s="145"/>
      <c r="V82" s="143"/>
      <c r="W82" s="145"/>
      <c r="X82" s="145"/>
      <c r="Y82" s="124"/>
      <c r="Z82" s="122"/>
      <c r="AB82" s="122"/>
    </row>
    <row r="83" spans="1:31" ht="15.75" customHeight="1" x14ac:dyDescent="0.25">
      <c r="A83" s="147">
        <f>A82+1</f>
        <v>45</v>
      </c>
      <c r="B83" s="5" t="s">
        <v>281</v>
      </c>
      <c r="C83" s="145">
        <f>D83+K83+M83+O83+Q83+S83+U83+V83+W83+X83</f>
        <v>4136789.72</v>
      </c>
      <c r="D83" s="145"/>
      <c r="E83" s="145"/>
      <c r="F83" s="145"/>
      <c r="G83" s="145"/>
      <c r="H83" s="145"/>
      <c r="I83" s="145"/>
      <c r="J83" s="147"/>
      <c r="K83" s="145"/>
      <c r="L83" s="100">
        <v>993</v>
      </c>
      <c r="M83" s="145">
        <v>4136789.72</v>
      </c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24"/>
      <c r="Z83" s="122"/>
      <c r="AB83" s="122"/>
    </row>
    <row r="84" spans="1:31" ht="15.75" customHeight="1" x14ac:dyDescent="0.25">
      <c r="A84" s="144">
        <f>A83+1</f>
        <v>46</v>
      </c>
      <c r="B84" s="5" t="s">
        <v>282</v>
      </c>
      <c r="C84" s="145">
        <f>D84+K84+M84+O84+Q84+S84+U84+V84+W84+X84</f>
        <v>2822551.44</v>
      </c>
      <c r="D84" s="145"/>
      <c r="E84" s="145"/>
      <c r="F84" s="145"/>
      <c r="G84" s="145"/>
      <c r="H84" s="145"/>
      <c r="I84" s="145"/>
      <c r="J84" s="144"/>
      <c r="K84" s="145"/>
      <c r="L84" s="100">
        <v>913</v>
      </c>
      <c r="M84" s="145">
        <v>2822551.44</v>
      </c>
      <c r="N84" s="143"/>
      <c r="O84" s="145"/>
      <c r="P84" s="145"/>
      <c r="Q84" s="145"/>
      <c r="R84" s="145"/>
      <c r="S84" s="145"/>
      <c r="T84" s="145"/>
      <c r="U84" s="145"/>
      <c r="V84" s="143"/>
      <c r="W84" s="145"/>
      <c r="X84" s="145"/>
      <c r="Y84" s="124"/>
      <c r="Z84" s="122"/>
      <c r="AB84" s="122"/>
    </row>
    <row r="85" spans="1:31" ht="15.75" customHeight="1" x14ac:dyDescent="0.25">
      <c r="A85" s="203" t="s">
        <v>18</v>
      </c>
      <c r="B85" s="203"/>
      <c r="C85" s="145">
        <f>SUM(C82:C84)</f>
        <v>11458154.779999999</v>
      </c>
      <c r="D85" s="145"/>
      <c r="E85" s="145"/>
      <c r="F85" s="145"/>
      <c r="G85" s="145"/>
      <c r="H85" s="145"/>
      <c r="I85" s="145"/>
      <c r="J85" s="147">
        <f>SUM(J82:J84)</f>
        <v>2</v>
      </c>
      <c r="K85" s="145">
        <f>SUM(K82:K84)</f>
        <v>4498813.62</v>
      </c>
      <c r="L85" s="145">
        <f>SUM(L82:L84)</f>
        <v>1906</v>
      </c>
      <c r="M85" s="145">
        <f>SUM(M82:M84)</f>
        <v>6959341.1600000001</v>
      </c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>
        <f>SUM(X82:X84)</f>
        <v>0</v>
      </c>
      <c r="Y85" s="124"/>
      <c r="Z85" s="122"/>
      <c r="AA85" s="122"/>
      <c r="AB85" s="122"/>
      <c r="AE85" s="123"/>
    </row>
    <row r="86" spans="1:31" ht="15.75" customHeight="1" x14ac:dyDescent="0.25">
      <c r="A86" s="188" t="s">
        <v>20</v>
      </c>
      <c r="B86" s="188"/>
      <c r="C86" s="188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24"/>
      <c r="Z86" s="122"/>
      <c r="AB86" s="122"/>
    </row>
    <row r="87" spans="1:31" ht="15.75" customHeight="1" x14ac:dyDescent="0.25">
      <c r="A87" s="147">
        <f>A84+1</f>
        <v>47</v>
      </c>
      <c r="B87" s="5" t="s">
        <v>21</v>
      </c>
      <c r="C87" s="145">
        <f>D87+K87+M87+O87+Q87+S87+U87+V87+W87+X87</f>
        <v>1440515.8900000001</v>
      </c>
      <c r="D87" s="145"/>
      <c r="E87" s="145"/>
      <c r="F87" s="145"/>
      <c r="G87" s="145"/>
      <c r="H87" s="145"/>
      <c r="I87" s="145"/>
      <c r="J87" s="145"/>
      <c r="K87" s="145"/>
      <c r="L87" s="145">
        <v>396</v>
      </c>
      <c r="M87" s="145">
        <v>770690.96</v>
      </c>
      <c r="N87" s="145"/>
      <c r="O87" s="145"/>
      <c r="P87" s="145">
        <v>641</v>
      </c>
      <c r="Q87" s="145">
        <v>362174.08</v>
      </c>
      <c r="R87" s="145"/>
      <c r="S87" s="145"/>
      <c r="T87" s="145"/>
      <c r="U87" s="145"/>
      <c r="V87" s="145"/>
      <c r="W87" s="143">
        <f>149903.03+157747.82</f>
        <v>307650.84999999998</v>
      </c>
      <c r="X87" s="143"/>
      <c r="Y87" s="124"/>
      <c r="Z87" s="122"/>
      <c r="AA87" s="122"/>
      <c r="AB87" s="122"/>
    </row>
    <row r="88" spans="1:31" ht="15.75" customHeight="1" x14ac:dyDescent="0.25">
      <c r="A88" s="147">
        <f>A87+1</f>
        <v>48</v>
      </c>
      <c r="B88" s="5" t="s">
        <v>22</v>
      </c>
      <c r="C88" s="145">
        <f>D88+K88+M88+O88+Q88+S88+U88+V88+W88+X88</f>
        <v>1856205.1300000001</v>
      </c>
      <c r="D88" s="145"/>
      <c r="E88" s="145"/>
      <c r="F88" s="145"/>
      <c r="G88" s="145"/>
      <c r="H88" s="145"/>
      <c r="I88" s="145"/>
      <c r="J88" s="145"/>
      <c r="K88" s="145"/>
      <c r="L88" s="145">
        <v>572.79999999999995</v>
      </c>
      <c r="M88" s="145">
        <v>1266669.8500000001</v>
      </c>
      <c r="N88" s="145"/>
      <c r="O88" s="145"/>
      <c r="P88" s="145"/>
      <c r="Q88" s="145"/>
      <c r="R88" s="145"/>
      <c r="S88" s="145"/>
      <c r="T88" s="145"/>
      <c r="U88" s="145"/>
      <c r="V88" s="145"/>
      <c r="W88" s="143">
        <f>255063.43+334471.85</f>
        <v>589535.28</v>
      </c>
      <c r="X88" s="143"/>
      <c r="Y88" s="124"/>
      <c r="Z88" s="122"/>
      <c r="AA88" s="122"/>
      <c r="AB88" s="122"/>
    </row>
    <row r="89" spans="1:31" ht="15.75" customHeight="1" x14ac:dyDescent="0.25">
      <c r="A89" s="203" t="s">
        <v>18</v>
      </c>
      <c r="B89" s="203"/>
      <c r="C89" s="145">
        <f>SUM(C87:C88)</f>
        <v>3296721.0200000005</v>
      </c>
      <c r="D89" s="145"/>
      <c r="E89" s="145"/>
      <c r="F89" s="145"/>
      <c r="G89" s="145"/>
      <c r="H89" s="145"/>
      <c r="I89" s="145"/>
      <c r="J89" s="145"/>
      <c r="K89" s="145"/>
      <c r="L89" s="145">
        <f>SUM(L87:L88)</f>
        <v>968.8</v>
      </c>
      <c r="M89" s="145">
        <f>SUM(M87:M88)</f>
        <v>2037360.81</v>
      </c>
      <c r="N89" s="145"/>
      <c r="O89" s="145"/>
      <c r="P89" s="145">
        <f>SUM(P87:P88)</f>
        <v>641</v>
      </c>
      <c r="Q89" s="145">
        <f>SUM(Q87:Q88)</f>
        <v>362174.08</v>
      </c>
      <c r="R89" s="145"/>
      <c r="S89" s="145"/>
      <c r="T89" s="145"/>
      <c r="U89" s="145"/>
      <c r="V89" s="145"/>
      <c r="W89" s="145">
        <f>SUM(W87:W88)</f>
        <v>897186.13</v>
      </c>
      <c r="X89" s="145">
        <f>SUM(X87:X88)</f>
        <v>0</v>
      </c>
      <c r="Y89" s="124"/>
      <c r="Z89" s="122"/>
      <c r="AA89" s="122"/>
      <c r="AB89" s="122"/>
      <c r="AE89" s="123"/>
    </row>
    <row r="90" spans="1:31" ht="15.75" customHeight="1" x14ac:dyDescent="0.25">
      <c r="A90" s="189" t="s">
        <v>23</v>
      </c>
      <c r="B90" s="189"/>
      <c r="C90" s="189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24"/>
      <c r="Z90" s="122"/>
      <c r="AB90" s="122"/>
    </row>
    <row r="91" spans="1:31" ht="15.75" customHeight="1" x14ac:dyDescent="0.25">
      <c r="A91" s="147">
        <f>A88+1</f>
        <v>49</v>
      </c>
      <c r="B91" s="5" t="s">
        <v>283</v>
      </c>
      <c r="C91" s="145">
        <f>D91+K91+M91+O91+Q91+S91+U91+V91+W91+X91</f>
        <v>2077785.8800000001</v>
      </c>
      <c r="D91" s="145"/>
      <c r="E91" s="145"/>
      <c r="F91" s="145"/>
      <c r="G91" s="145"/>
      <c r="H91" s="145"/>
      <c r="I91" s="145"/>
      <c r="J91" s="145"/>
      <c r="K91" s="145"/>
      <c r="L91" s="100">
        <v>532.9</v>
      </c>
      <c r="M91" s="145">
        <v>1114052.6100000001</v>
      </c>
      <c r="N91" s="145"/>
      <c r="O91" s="145"/>
      <c r="P91" s="145"/>
      <c r="Q91" s="145"/>
      <c r="R91" s="145"/>
      <c r="S91" s="145"/>
      <c r="T91" s="145"/>
      <c r="U91" s="145"/>
      <c r="V91" s="145"/>
      <c r="W91" s="145">
        <f>223234.6+566559.75+173938.92</f>
        <v>963733.27</v>
      </c>
      <c r="X91" s="145"/>
      <c r="Y91" s="124"/>
      <c r="Z91" s="122"/>
      <c r="AB91" s="122"/>
    </row>
    <row r="92" spans="1:31" ht="15.75" customHeight="1" x14ac:dyDescent="0.25">
      <c r="A92" s="203" t="s">
        <v>18</v>
      </c>
      <c r="B92" s="203"/>
      <c r="C92" s="145">
        <f>SUM(C91)</f>
        <v>2077785.8800000001</v>
      </c>
      <c r="D92" s="145"/>
      <c r="E92" s="145"/>
      <c r="F92" s="145"/>
      <c r="G92" s="145"/>
      <c r="H92" s="145"/>
      <c r="I92" s="145"/>
      <c r="J92" s="145"/>
      <c r="K92" s="145"/>
      <c r="L92" s="145">
        <f>SUM(L91)</f>
        <v>532.9</v>
      </c>
      <c r="M92" s="145">
        <f>SUM(M91)</f>
        <v>1114052.6100000001</v>
      </c>
      <c r="N92" s="145"/>
      <c r="O92" s="145"/>
      <c r="P92" s="145"/>
      <c r="Q92" s="145"/>
      <c r="R92" s="145"/>
      <c r="S92" s="145"/>
      <c r="T92" s="145"/>
      <c r="U92" s="145"/>
      <c r="V92" s="145"/>
      <c r="W92" s="145">
        <f>SUM(W91)</f>
        <v>963733.27</v>
      </c>
      <c r="X92" s="145">
        <f>SUM(X91)</f>
        <v>0</v>
      </c>
      <c r="Y92" s="124"/>
      <c r="Z92" s="122"/>
      <c r="AA92" s="122"/>
      <c r="AB92" s="122"/>
    </row>
    <row r="93" spans="1:31" ht="15.75" customHeight="1" x14ac:dyDescent="0.25">
      <c r="A93" s="188" t="s">
        <v>24</v>
      </c>
      <c r="B93" s="188"/>
      <c r="C93" s="188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24"/>
      <c r="Z93" s="122"/>
      <c r="AB93" s="122"/>
    </row>
    <row r="94" spans="1:31" ht="15.75" customHeight="1" x14ac:dyDescent="0.25">
      <c r="A94" s="147">
        <f>A91+1</f>
        <v>50</v>
      </c>
      <c r="B94" s="5" t="s">
        <v>25</v>
      </c>
      <c r="C94" s="145">
        <f t="shared" ref="C94:C105" si="4">D94+K94+M94+O94+Q94+S94+U94+V94+W94+X94</f>
        <v>571975.9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>
        <f>401548.89+170427.01</f>
        <v>571975.9</v>
      </c>
      <c r="X94" s="145"/>
      <c r="Y94" s="124"/>
      <c r="Z94" s="122"/>
      <c r="AB94" s="122"/>
    </row>
    <row r="95" spans="1:31" ht="15.75" customHeight="1" x14ac:dyDescent="0.25">
      <c r="A95" s="147">
        <f t="shared" ref="A95:A105" si="5">A94+1</f>
        <v>51</v>
      </c>
      <c r="B95" s="5" t="s">
        <v>26</v>
      </c>
      <c r="C95" s="145">
        <f t="shared" si="4"/>
        <v>170427.01</v>
      </c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>
        <v>170427.01</v>
      </c>
      <c r="X95" s="145"/>
      <c r="Y95" s="124"/>
      <c r="Z95" s="122"/>
      <c r="AB95" s="122"/>
    </row>
    <row r="96" spans="1:31" ht="15.75" customHeight="1" x14ac:dyDescent="0.25">
      <c r="A96" s="147">
        <f t="shared" si="5"/>
        <v>52</v>
      </c>
      <c r="B96" s="5" t="s">
        <v>27</v>
      </c>
      <c r="C96" s="145">
        <f t="shared" si="4"/>
        <v>170427.01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>
        <v>170427.01</v>
      </c>
      <c r="X96" s="145"/>
      <c r="Y96" s="124"/>
      <c r="Z96" s="122"/>
      <c r="AB96" s="122"/>
    </row>
    <row r="97" spans="1:31" ht="15.75" customHeight="1" x14ac:dyDescent="0.25">
      <c r="A97" s="147">
        <f t="shared" si="5"/>
        <v>53</v>
      </c>
      <c r="B97" s="5" t="s">
        <v>28</v>
      </c>
      <c r="C97" s="145">
        <f t="shared" si="4"/>
        <v>170427.01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>
        <v>170427.01</v>
      </c>
      <c r="X97" s="145"/>
      <c r="Y97" s="124"/>
      <c r="Z97" s="122"/>
      <c r="AB97" s="122"/>
    </row>
    <row r="98" spans="1:31" ht="15.75" customHeight="1" x14ac:dyDescent="0.25">
      <c r="A98" s="147">
        <f t="shared" si="5"/>
        <v>54</v>
      </c>
      <c r="B98" s="5" t="s">
        <v>29</v>
      </c>
      <c r="C98" s="145">
        <f t="shared" si="4"/>
        <v>166592.35999999999</v>
      </c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>
        <v>166592.35999999999</v>
      </c>
      <c r="X98" s="145"/>
      <c r="Y98" s="124"/>
      <c r="Z98" s="122"/>
      <c r="AB98" s="122"/>
    </row>
    <row r="99" spans="1:31" ht="15.75" customHeight="1" x14ac:dyDescent="0.25">
      <c r="A99" s="147">
        <f t="shared" si="5"/>
        <v>55</v>
      </c>
      <c r="B99" s="5" t="s">
        <v>30</v>
      </c>
      <c r="C99" s="145">
        <f t="shared" si="4"/>
        <v>175151.59</v>
      </c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>
        <v>175151.59</v>
      </c>
      <c r="X99" s="145"/>
      <c r="Y99" s="124"/>
      <c r="Z99" s="122"/>
      <c r="AB99" s="122"/>
    </row>
    <row r="100" spans="1:31" ht="15.75" customHeight="1" x14ac:dyDescent="0.25">
      <c r="A100" s="147">
        <f t="shared" si="5"/>
        <v>56</v>
      </c>
      <c r="B100" s="5" t="s">
        <v>31</v>
      </c>
      <c r="C100" s="145">
        <f t="shared" si="4"/>
        <v>175151.59</v>
      </c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>
        <v>175151.59</v>
      </c>
      <c r="X100" s="145"/>
      <c r="Y100" s="124"/>
      <c r="Z100" s="122"/>
      <c r="AB100" s="122"/>
    </row>
    <row r="101" spans="1:31" ht="15.75" customHeight="1" x14ac:dyDescent="0.25">
      <c r="A101" s="147">
        <f t="shared" si="5"/>
        <v>57</v>
      </c>
      <c r="B101" s="5" t="s">
        <v>32</v>
      </c>
      <c r="C101" s="145">
        <f t="shared" si="4"/>
        <v>166592.35999999999</v>
      </c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>
        <v>166592.35999999999</v>
      </c>
      <c r="X101" s="145"/>
      <c r="Y101" s="124"/>
      <c r="Z101" s="122"/>
      <c r="AB101" s="122"/>
    </row>
    <row r="102" spans="1:31" ht="15.75" customHeight="1" x14ac:dyDescent="0.25">
      <c r="A102" s="147">
        <f t="shared" si="5"/>
        <v>58</v>
      </c>
      <c r="B102" s="5" t="s">
        <v>33</v>
      </c>
      <c r="C102" s="145">
        <f t="shared" si="4"/>
        <v>172442.78</v>
      </c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>
        <v>172442.78</v>
      </c>
      <c r="X102" s="145"/>
      <c r="Y102" s="124"/>
      <c r="Z102" s="122"/>
      <c r="AB102" s="122"/>
    </row>
    <row r="103" spans="1:31" ht="15.75" customHeight="1" x14ac:dyDescent="0.25">
      <c r="A103" s="147">
        <f t="shared" si="5"/>
        <v>59</v>
      </c>
      <c r="B103" s="5" t="s">
        <v>284</v>
      </c>
      <c r="C103" s="145">
        <f t="shared" si="4"/>
        <v>171490.07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>
        <v>171490.07</v>
      </c>
      <c r="X103" s="145"/>
      <c r="Y103" s="124"/>
      <c r="Z103" s="122"/>
      <c r="AB103" s="122"/>
    </row>
    <row r="104" spans="1:31" ht="15.75" customHeight="1" x14ac:dyDescent="0.25">
      <c r="A104" s="147">
        <f t="shared" si="5"/>
        <v>60</v>
      </c>
      <c r="B104" s="5" t="s">
        <v>285</v>
      </c>
      <c r="C104" s="145">
        <f t="shared" si="4"/>
        <v>171490.07</v>
      </c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>
        <v>171490.07</v>
      </c>
      <c r="X104" s="145"/>
      <c r="Y104" s="124"/>
      <c r="Z104" s="122"/>
      <c r="AB104" s="122"/>
    </row>
    <row r="105" spans="1:31" ht="15.75" customHeight="1" x14ac:dyDescent="0.25">
      <c r="A105" s="147">
        <f t="shared" si="5"/>
        <v>61</v>
      </c>
      <c r="B105" s="5" t="s">
        <v>286</v>
      </c>
      <c r="C105" s="145">
        <f t="shared" si="4"/>
        <v>171490.07</v>
      </c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>
        <v>171490.07</v>
      </c>
      <c r="X105" s="145"/>
      <c r="Y105" s="124"/>
      <c r="Z105" s="122"/>
      <c r="AB105" s="122"/>
    </row>
    <row r="106" spans="1:31" ht="15.75" customHeight="1" x14ac:dyDescent="0.25">
      <c r="A106" s="203" t="s">
        <v>18</v>
      </c>
      <c r="B106" s="203"/>
      <c r="C106" s="145">
        <f>SUM(C94:C105)</f>
        <v>2453657.8199999998</v>
      </c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>
        <f>SUM(W94:W105)</f>
        <v>2453657.8199999998</v>
      </c>
      <c r="X106" s="145"/>
      <c r="Y106" s="124"/>
      <c r="Z106" s="122"/>
      <c r="AA106" s="122"/>
      <c r="AB106" s="122"/>
    </row>
    <row r="107" spans="1:31" ht="15.75" customHeight="1" x14ac:dyDescent="0.25">
      <c r="A107" s="188" t="s">
        <v>34</v>
      </c>
      <c r="B107" s="188"/>
      <c r="C107" s="188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24"/>
      <c r="Z107" s="122"/>
      <c r="AB107" s="122"/>
    </row>
    <row r="108" spans="1:31" ht="15.75" customHeight="1" x14ac:dyDescent="0.25">
      <c r="A108" s="147">
        <f>A105+1</f>
        <v>62</v>
      </c>
      <c r="B108" s="24" t="s">
        <v>287</v>
      </c>
      <c r="C108" s="145">
        <f>D108+K108+M108+O108+Q108+S108+U108+V108+W108+X108</f>
        <v>2494254.13</v>
      </c>
      <c r="D108" s="145"/>
      <c r="E108" s="145"/>
      <c r="F108" s="145"/>
      <c r="G108" s="145"/>
      <c r="H108" s="145"/>
      <c r="I108" s="145"/>
      <c r="J108" s="145"/>
      <c r="K108" s="145"/>
      <c r="L108" s="100">
        <v>580.5</v>
      </c>
      <c r="M108" s="145">
        <v>2494254.13</v>
      </c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24"/>
      <c r="Z108" s="122"/>
      <c r="AB108" s="122"/>
    </row>
    <row r="109" spans="1:31" ht="15.75" customHeight="1" x14ac:dyDescent="0.25">
      <c r="A109" s="203" t="s">
        <v>18</v>
      </c>
      <c r="B109" s="203"/>
      <c r="C109" s="145">
        <f>SUM(C108:C108)</f>
        <v>2494254.13</v>
      </c>
      <c r="D109" s="145"/>
      <c r="E109" s="145"/>
      <c r="F109" s="145"/>
      <c r="G109" s="145"/>
      <c r="H109" s="145"/>
      <c r="I109" s="145"/>
      <c r="J109" s="145"/>
      <c r="K109" s="145"/>
      <c r="L109" s="145">
        <f>SUM(L108:L108)</f>
        <v>580.5</v>
      </c>
      <c r="M109" s="145">
        <f>SUM(M108:M108)</f>
        <v>2494254.13</v>
      </c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>
        <f>SUM(X108:X108)</f>
        <v>0</v>
      </c>
      <c r="Y109" s="124"/>
      <c r="Z109" s="122"/>
      <c r="AB109" s="122"/>
      <c r="AE109" s="123"/>
    </row>
    <row r="110" spans="1:31" ht="15.75" customHeight="1" x14ac:dyDescent="0.25">
      <c r="A110" s="188" t="s">
        <v>35</v>
      </c>
      <c r="B110" s="188"/>
      <c r="C110" s="188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24"/>
      <c r="Z110" s="122"/>
      <c r="AA110" s="122"/>
      <c r="AB110" s="122"/>
    </row>
    <row r="111" spans="1:31" ht="15.75" customHeight="1" x14ac:dyDescent="0.25">
      <c r="A111" s="147">
        <f>A108+1</f>
        <v>63</v>
      </c>
      <c r="B111" s="5" t="s">
        <v>289</v>
      </c>
      <c r="C111" s="145">
        <f t="shared" ref="C111:C122" si="6">D111+K111+M111+O111+Q111+S111+U111+V111+W111+X111</f>
        <v>3151215.7900000005</v>
      </c>
      <c r="D111" s="145"/>
      <c r="E111" s="145"/>
      <c r="F111" s="145"/>
      <c r="G111" s="145"/>
      <c r="H111" s="145"/>
      <c r="I111" s="145"/>
      <c r="J111" s="145"/>
      <c r="K111" s="145"/>
      <c r="L111" s="100">
        <v>287.7</v>
      </c>
      <c r="M111" s="145">
        <v>1215828.51</v>
      </c>
      <c r="N111" s="100"/>
      <c r="O111" s="100"/>
      <c r="P111" s="100">
        <v>448.2</v>
      </c>
      <c r="Q111" s="145">
        <v>1757453.35</v>
      </c>
      <c r="R111" s="145"/>
      <c r="S111" s="145"/>
      <c r="T111" s="145"/>
      <c r="U111" s="145"/>
      <c r="V111" s="145"/>
      <c r="W111" s="145">
        <v>177933.93</v>
      </c>
      <c r="X111" s="145"/>
      <c r="Y111" s="124"/>
      <c r="Z111" s="122"/>
      <c r="AA111" s="122"/>
      <c r="AB111" s="122"/>
    </row>
    <row r="112" spans="1:31" ht="15.75" customHeight="1" x14ac:dyDescent="0.25">
      <c r="A112" s="147">
        <f t="shared" ref="A112:A122" si="7">A111+1</f>
        <v>64</v>
      </c>
      <c r="B112" s="5" t="s">
        <v>290</v>
      </c>
      <c r="C112" s="145">
        <f t="shared" si="6"/>
        <v>2175546.9</v>
      </c>
      <c r="D112" s="145"/>
      <c r="E112" s="145"/>
      <c r="F112" s="145"/>
      <c r="G112" s="145"/>
      <c r="H112" s="145"/>
      <c r="I112" s="145"/>
      <c r="J112" s="145"/>
      <c r="K112" s="145"/>
      <c r="L112" s="100">
        <v>175.4</v>
      </c>
      <c r="M112" s="145">
        <v>731885.81</v>
      </c>
      <c r="N112" s="100"/>
      <c r="O112" s="100"/>
      <c r="P112" s="100">
        <v>321.3</v>
      </c>
      <c r="Q112" s="145">
        <v>1295215.5</v>
      </c>
      <c r="R112" s="145"/>
      <c r="S112" s="145"/>
      <c r="T112" s="145"/>
      <c r="U112" s="145"/>
      <c r="V112" s="145"/>
      <c r="W112" s="145">
        <v>148445.59</v>
      </c>
      <c r="X112" s="145"/>
      <c r="Y112" s="124"/>
      <c r="Z112" s="122"/>
      <c r="AA112" s="122"/>
      <c r="AB112" s="122"/>
    </row>
    <row r="113" spans="1:31" ht="15.75" customHeight="1" x14ac:dyDescent="0.25">
      <c r="A113" s="147">
        <f t="shared" si="7"/>
        <v>65</v>
      </c>
      <c r="B113" s="140" t="s">
        <v>550</v>
      </c>
      <c r="C113" s="145">
        <f t="shared" si="6"/>
        <v>2889713.55</v>
      </c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3">
        <v>2889713.55</v>
      </c>
      <c r="X113" s="143"/>
      <c r="Y113" s="125"/>
      <c r="Z113" s="122"/>
      <c r="AA113" s="122"/>
      <c r="AB113" s="122"/>
    </row>
    <row r="114" spans="1:31" ht="15.75" customHeight="1" x14ac:dyDescent="0.25">
      <c r="A114" s="147">
        <f t="shared" si="7"/>
        <v>66</v>
      </c>
      <c r="B114" s="5" t="s">
        <v>291</v>
      </c>
      <c r="C114" s="145">
        <f t="shared" si="6"/>
        <v>1761069.42</v>
      </c>
      <c r="D114" s="145"/>
      <c r="E114" s="145"/>
      <c r="F114" s="145"/>
      <c r="G114" s="145"/>
      <c r="H114" s="145"/>
      <c r="I114" s="145"/>
      <c r="J114" s="145"/>
      <c r="K114" s="145"/>
      <c r="L114" s="100"/>
      <c r="M114" s="100"/>
      <c r="N114" s="100"/>
      <c r="O114" s="100"/>
      <c r="P114" s="100">
        <v>384.33</v>
      </c>
      <c r="Q114" s="145">
        <v>1577390.5</v>
      </c>
      <c r="R114" s="145"/>
      <c r="S114" s="145"/>
      <c r="T114" s="145"/>
      <c r="U114" s="145"/>
      <c r="V114" s="145"/>
      <c r="W114" s="145">
        <v>183678.92</v>
      </c>
      <c r="X114" s="145"/>
      <c r="Y114" s="124"/>
      <c r="Z114" s="122"/>
      <c r="AA114" s="122"/>
      <c r="AB114" s="122"/>
    </row>
    <row r="115" spans="1:31" ht="15.75" customHeight="1" x14ac:dyDescent="0.25">
      <c r="A115" s="147">
        <f t="shared" si="7"/>
        <v>67</v>
      </c>
      <c r="B115" s="140" t="s">
        <v>545</v>
      </c>
      <c r="C115" s="145">
        <f t="shared" si="6"/>
        <v>3403253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3">
        <v>365</v>
      </c>
      <c r="Q115" s="143">
        <v>3403253</v>
      </c>
      <c r="R115" s="143"/>
      <c r="S115" s="143"/>
      <c r="T115" s="142"/>
      <c r="U115" s="142"/>
      <c r="V115" s="142"/>
      <c r="W115" s="142"/>
      <c r="X115" s="142"/>
      <c r="Y115" s="124"/>
      <c r="Z115" s="122"/>
      <c r="AA115" s="122"/>
      <c r="AB115" s="122"/>
    </row>
    <row r="116" spans="1:31" ht="15.75" customHeight="1" x14ac:dyDescent="0.25">
      <c r="A116" s="147">
        <f t="shared" si="7"/>
        <v>68</v>
      </c>
      <c r="B116" s="140" t="s">
        <v>546</v>
      </c>
      <c r="C116" s="145">
        <f t="shared" si="6"/>
        <v>6197062.6399999997</v>
      </c>
      <c r="D116" s="145">
        <f>E116+F116+G116+H116+I116</f>
        <v>6197062.6399999997</v>
      </c>
      <c r="E116" s="143">
        <v>6197062.6399999997</v>
      </c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24"/>
      <c r="Z116" s="122"/>
      <c r="AA116" s="122"/>
      <c r="AB116" s="122"/>
    </row>
    <row r="117" spans="1:31" ht="15.75" customHeight="1" x14ac:dyDescent="0.25">
      <c r="A117" s="147">
        <f t="shared" si="7"/>
        <v>69</v>
      </c>
      <c r="B117" s="5" t="s">
        <v>288</v>
      </c>
      <c r="C117" s="145">
        <f t="shared" si="6"/>
        <v>2693323.1100000003</v>
      </c>
      <c r="D117" s="145"/>
      <c r="E117" s="145"/>
      <c r="F117" s="145"/>
      <c r="G117" s="145"/>
      <c r="H117" s="145"/>
      <c r="I117" s="145"/>
      <c r="J117" s="145"/>
      <c r="K117" s="145"/>
      <c r="L117" s="100"/>
      <c r="M117" s="100"/>
      <c r="N117" s="100"/>
      <c r="O117" s="100"/>
      <c r="P117" s="100">
        <v>350.4</v>
      </c>
      <c r="Q117" s="145">
        <v>2498371.2200000002</v>
      </c>
      <c r="R117" s="145"/>
      <c r="S117" s="145"/>
      <c r="T117" s="145"/>
      <c r="U117" s="145"/>
      <c r="V117" s="145"/>
      <c r="W117" s="145">
        <v>194951.89</v>
      </c>
      <c r="X117" s="145"/>
      <c r="Y117" s="124"/>
      <c r="Z117" s="122"/>
      <c r="AA117" s="122"/>
      <c r="AB117" s="122"/>
    </row>
    <row r="118" spans="1:31" ht="15.75" customHeight="1" x14ac:dyDescent="0.25">
      <c r="A118" s="147">
        <f t="shared" si="7"/>
        <v>70</v>
      </c>
      <c r="B118" s="140" t="s">
        <v>588</v>
      </c>
      <c r="C118" s="145">
        <f t="shared" si="6"/>
        <v>3375367.39</v>
      </c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3">
        <v>3375367.39</v>
      </c>
      <c r="X118" s="142"/>
      <c r="Y118" s="124"/>
      <c r="Z118" s="122"/>
      <c r="AA118" s="122"/>
      <c r="AB118" s="122"/>
    </row>
    <row r="119" spans="1:31" ht="15.75" customHeight="1" x14ac:dyDescent="0.25">
      <c r="A119" s="147">
        <f t="shared" si="7"/>
        <v>71</v>
      </c>
      <c r="B119" s="140" t="s">
        <v>589</v>
      </c>
      <c r="C119" s="145">
        <f t="shared" si="6"/>
        <v>437568.19</v>
      </c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3">
        <f>95873.12+85557.31+256137.76</f>
        <v>437568.19</v>
      </c>
      <c r="X119" s="142"/>
      <c r="Y119" s="125"/>
      <c r="Z119" s="122"/>
      <c r="AA119" s="122"/>
      <c r="AB119" s="122"/>
    </row>
    <row r="120" spans="1:31" ht="15.75" customHeight="1" x14ac:dyDescent="0.25">
      <c r="A120" s="147">
        <f t="shared" si="7"/>
        <v>72</v>
      </c>
      <c r="B120" s="140" t="s">
        <v>547</v>
      </c>
      <c r="C120" s="145">
        <f t="shared" si="6"/>
        <v>350774.94</v>
      </c>
      <c r="D120" s="145">
        <f>E120+F120+G120+H120+I120</f>
        <v>350774.94</v>
      </c>
      <c r="E120" s="143">
        <v>350774.94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24"/>
      <c r="Z120" s="122"/>
      <c r="AA120" s="122"/>
      <c r="AB120" s="122"/>
    </row>
    <row r="121" spans="1:31" ht="15.75" customHeight="1" x14ac:dyDescent="0.25">
      <c r="A121" s="147">
        <f t="shared" si="7"/>
        <v>73</v>
      </c>
      <c r="B121" s="140" t="s">
        <v>548</v>
      </c>
      <c r="C121" s="145">
        <f t="shared" si="6"/>
        <v>320483.28000000003</v>
      </c>
      <c r="D121" s="145">
        <f>E121+F121+G121+H121+I121</f>
        <v>320483.28000000003</v>
      </c>
      <c r="E121" s="143">
        <v>320483.28000000003</v>
      </c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24"/>
      <c r="Z121" s="122"/>
      <c r="AA121" s="122"/>
      <c r="AB121" s="122"/>
    </row>
    <row r="122" spans="1:31" ht="15.75" customHeight="1" x14ac:dyDescent="0.25">
      <c r="A122" s="147">
        <f t="shared" si="7"/>
        <v>74</v>
      </c>
      <c r="B122" s="140" t="s">
        <v>549</v>
      </c>
      <c r="C122" s="145">
        <f t="shared" si="6"/>
        <v>312000.26</v>
      </c>
      <c r="D122" s="145">
        <f>E122+F122+G122+H122+I122</f>
        <v>312000.26</v>
      </c>
      <c r="E122" s="143">
        <v>312000.26</v>
      </c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24"/>
      <c r="Z122" s="122"/>
      <c r="AA122" s="122"/>
      <c r="AB122" s="122"/>
    </row>
    <row r="123" spans="1:31" ht="15.75" customHeight="1" x14ac:dyDescent="0.25">
      <c r="A123" s="203" t="s">
        <v>18</v>
      </c>
      <c r="B123" s="203"/>
      <c r="C123" s="145">
        <f>SUM(C111:C122)</f>
        <v>27067378.470000006</v>
      </c>
      <c r="D123" s="145">
        <f>SUM(D111:D122)</f>
        <v>7180321.1200000001</v>
      </c>
      <c r="E123" s="145">
        <f>SUM(E111:E122)</f>
        <v>7180321.1200000001</v>
      </c>
      <c r="F123" s="145"/>
      <c r="G123" s="145"/>
      <c r="H123" s="145"/>
      <c r="I123" s="145"/>
      <c r="J123" s="145"/>
      <c r="K123" s="145"/>
      <c r="L123" s="145">
        <f>SUM(L111:L122)</f>
        <v>463.1</v>
      </c>
      <c r="M123" s="145">
        <f>SUM(M111:M122)</f>
        <v>1947714.32</v>
      </c>
      <c r="N123" s="145"/>
      <c r="O123" s="145"/>
      <c r="P123" s="145">
        <f>SUM(P111:P122)</f>
        <v>1869.23</v>
      </c>
      <c r="Q123" s="145">
        <f>SUM(Q111:Q122)</f>
        <v>10531683.57</v>
      </c>
      <c r="R123" s="145">
        <f>SUM(R111:R122)</f>
        <v>0</v>
      </c>
      <c r="S123" s="145">
        <f>SUM(S111:S122)</f>
        <v>0</v>
      </c>
      <c r="T123" s="145"/>
      <c r="U123" s="145"/>
      <c r="V123" s="145"/>
      <c r="W123" s="145">
        <f>SUM(W111:W122)</f>
        <v>7407659.46</v>
      </c>
      <c r="X123" s="145">
        <f>SUM(X111:X122)</f>
        <v>0</v>
      </c>
      <c r="Y123" s="124"/>
      <c r="Z123" s="122"/>
      <c r="AA123" s="122"/>
      <c r="AB123" s="122"/>
      <c r="AE123" s="123"/>
    </row>
    <row r="124" spans="1:31" ht="15.75" customHeight="1" x14ac:dyDescent="0.25">
      <c r="A124" s="188" t="s">
        <v>36</v>
      </c>
      <c r="B124" s="188"/>
      <c r="C124" s="188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24"/>
      <c r="Z124" s="122"/>
      <c r="AB124" s="122"/>
    </row>
    <row r="125" spans="1:31" ht="15.75" customHeight="1" x14ac:dyDescent="0.25">
      <c r="A125" s="147">
        <f>A122+1</f>
        <v>75</v>
      </c>
      <c r="B125" s="26" t="s">
        <v>293</v>
      </c>
      <c r="C125" s="145">
        <f>D125+K125+M125+O125+Q125+S125+U125+V125+W125+X125</f>
        <v>1090590.53</v>
      </c>
      <c r="D125" s="145"/>
      <c r="E125" s="145"/>
      <c r="F125" s="145"/>
      <c r="G125" s="145"/>
      <c r="H125" s="145"/>
      <c r="I125" s="145"/>
      <c r="J125" s="145"/>
      <c r="K125" s="145"/>
      <c r="L125" s="100">
        <v>260.39999999999998</v>
      </c>
      <c r="M125" s="145">
        <v>1090590.53</v>
      </c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24"/>
      <c r="Z125" s="122"/>
      <c r="AB125" s="122"/>
    </row>
    <row r="126" spans="1:31" ht="15.75" customHeight="1" x14ac:dyDescent="0.25">
      <c r="A126" s="147">
        <f>A125+1</f>
        <v>76</v>
      </c>
      <c r="B126" s="26" t="s">
        <v>294</v>
      </c>
      <c r="C126" s="145">
        <f>D126+K126+M126+O126+Q126+S126+U126+V126+W126+X126</f>
        <v>894207.54</v>
      </c>
      <c r="D126" s="145"/>
      <c r="E126" s="145"/>
      <c r="F126" s="145"/>
      <c r="G126" s="145"/>
      <c r="H126" s="145"/>
      <c r="I126" s="145"/>
      <c r="J126" s="145"/>
      <c r="K126" s="145"/>
      <c r="L126" s="100">
        <v>257.8</v>
      </c>
      <c r="M126" s="145">
        <v>894207.54</v>
      </c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24"/>
      <c r="Z126" s="122"/>
      <c r="AB126" s="122"/>
    </row>
    <row r="127" spans="1:31" ht="15.75" customHeight="1" x14ac:dyDescent="0.25">
      <c r="A127" s="147">
        <f>A126+1</f>
        <v>77</v>
      </c>
      <c r="B127" s="26" t="s">
        <v>295</v>
      </c>
      <c r="C127" s="145">
        <f>D127+K127+M127+O127+Q127+S127+U127+V127+W127+X127</f>
        <v>917107.24</v>
      </c>
      <c r="D127" s="145"/>
      <c r="E127" s="145"/>
      <c r="F127" s="145"/>
      <c r="G127" s="145"/>
      <c r="H127" s="145"/>
      <c r="I127" s="145"/>
      <c r="J127" s="145"/>
      <c r="K127" s="145"/>
      <c r="L127" s="100">
        <v>223</v>
      </c>
      <c r="M127" s="145">
        <v>917107.24</v>
      </c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24"/>
      <c r="Z127" s="122"/>
      <c r="AB127" s="122"/>
    </row>
    <row r="128" spans="1:31" ht="15.75" customHeight="1" x14ac:dyDescent="0.25">
      <c r="A128" s="147">
        <f>A127+1</f>
        <v>78</v>
      </c>
      <c r="B128" s="26" t="s">
        <v>292</v>
      </c>
      <c r="C128" s="145">
        <f>D128+K128+M128+O128+Q128+S128+U128+V128+W128+X128</f>
        <v>1436886.26</v>
      </c>
      <c r="D128" s="145"/>
      <c r="E128" s="145"/>
      <c r="F128" s="145"/>
      <c r="G128" s="145"/>
      <c r="H128" s="145"/>
      <c r="I128" s="145"/>
      <c r="J128" s="145"/>
      <c r="K128" s="145"/>
      <c r="L128" s="100">
        <v>401.6</v>
      </c>
      <c r="M128" s="145">
        <v>1436886.26</v>
      </c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24"/>
      <c r="Z128" s="122"/>
      <c r="AB128" s="122"/>
    </row>
    <row r="129" spans="1:31" ht="15.75" customHeight="1" x14ac:dyDescent="0.25">
      <c r="A129" s="203" t="s">
        <v>18</v>
      </c>
      <c r="B129" s="203"/>
      <c r="C129" s="145">
        <f>SUM(C125:C128)</f>
        <v>4338791.57</v>
      </c>
      <c r="D129" s="145"/>
      <c r="E129" s="145"/>
      <c r="F129" s="145"/>
      <c r="G129" s="145"/>
      <c r="H129" s="145"/>
      <c r="I129" s="145"/>
      <c r="J129" s="145"/>
      <c r="K129" s="145"/>
      <c r="L129" s="145">
        <f>SUM(L125:L128)</f>
        <v>1142.8000000000002</v>
      </c>
      <c r="M129" s="145">
        <f>SUM(M125:M128)</f>
        <v>4338791.57</v>
      </c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>
        <f>SUM(X125:X128)</f>
        <v>0</v>
      </c>
      <c r="Y129" s="124"/>
      <c r="Z129" s="122"/>
      <c r="AA129" s="122"/>
      <c r="AB129" s="122"/>
      <c r="AE129" s="123"/>
    </row>
    <row r="130" spans="1:31" ht="15.75" customHeight="1" x14ac:dyDescent="0.25">
      <c r="A130" s="188" t="s">
        <v>37</v>
      </c>
      <c r="B130" s="188"/>
      <c r="C130" s="188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24"/>
      <c r="Z130" s="122"/>
      <c r="AB130" s="122"/>
    </row>
    <row r="131" spans="1:31" ht="15.75" customHeight="1" x14ac:dyDescent="0.2">
      <c r="A131" s="147">
        <f>A128+1</f>
        <v>79</v>
      </c>
      <c r="B131" s="14" t="s">
        <v>38</v>
      </c>
      <c r="C131" s="145">
        <f>D131+K131+M131+O131+Q131+S131+U131+V131+W131+X131</f>
        <v>3561586.78</v>
      </c>
      <c r="D131" s="145"/>
      <c r="E131" s="145"/>
      <c r="F131" s="145"/>
      <c r="G131" s="145"/>
      <c r="H131" s="145"/>
      <c r="I131" s="145"/>
      <c r="J131" s="145"/>
      <c r="K131" s="145"/>
      <c r="L131" s="145">
        <v>580.5</v>
      </c>
      <c r="M131" s="145">
        <v>2473939.92</v>
      </c>
      <c r="N131" s="145"/>
      <c r="O131" s="101"/>
      <c r="P131" s="145">
        <v>478</v>
      </c>
      <c r="Q131" s="145">
        <v>746001.96</v>
      </c>
      <c r="R131" s="145"/>
      <c r="S131" s="145"/>
      <c r="T131" s="145"/>
      <c r="U131" s="145"/>
      <c r="V131" s="145"/>
      <c r="W131" s="145">
        <f>149903.03+191741.87</f>
        <v>341644.9</v>
      </c>
      <c r="X131" s="145"/>
      <c r="Y131" s="124"/>
      <c r="Z131" s="122"/>
      <c r="AA131" s="122"/>
      <c r="AB131" s="122"/>
    </row>
    <row r="132" spans="1:31" ht="15.75" customHeight="1" x14ac:dyDescent="0.25">
      <c r="A132" s="147">
        <f>A131+1</f>
        <v>80</v>
      </c>
      <c r="B132" s="27" t="s">
        <v>39</v>
      </c>
      <c r="C132" s="145">
        <f>D132+K132+M132+O132+Q132+S132+U132+V132+W132+X132</f>
        <v>2224643.37</v>
      </c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01"/>
      <c r="P132" s="145"/>
      <c r="Q132" s="145"/>
      <c r="R132" s="145"/>
      <c r="S132" s="145"/>
      <c r="T132" s="145"/>
      <c r="U132" s="145"/>
      <c r="V132" s="145"/>
      <c r="W132" s="145">
        <f>1358478+499529.74+366635.63</f>
        <v>2224643.37</v>
      </c>
      <c r="X132" s="145"/>
      <c r="Y132" s="124"/>
      <c r="Z132" s="122"/>
      <c r="AB132" s="122"/>
    </row>
    <row r="133" spans="1:31" ht="15.75" customHeight="1" x14ac:dyDescent="0.25">
      <c r="A133" s="203" t="s">
        <v>18</v>
      </c>
      <c r="B133" s="203"/>
      <c r="C133" s="145">
        <f>SUM(C131:C132)</f>
        <v>5786230.1500000004</v>
      </c>
      <c r="D133" s="145"/>
      <c r="E133" s="145"/>
      <c r="F133" s="145"/>
      <c r="G133" s="145"/>
      <c r="H133" s="145"/>
      <c r="I133" s="145"/>
      <c r="J133" s="145"/>
      <c r="K133" s="145"/>
      <c r="L133" s="145">
        <f>SUM(L131:L132)</f>
        <v>580.5</v>
      </c>
      <c r="M133" s="145">
        <f>SUM(M131:M132)</f>
        <v>2473939.92</v>
      </c>
      <c r="N133" s="145"/>
      <c r="O133" s="145"/>
      <c r="P133" s="145">
        <f>SUM(P131:P132)</f>
        <v>478</v>
      </c>
      <c r="Q133" s="145">
        <f>SUM(Q131:Q132)</f>
        <v>746001.96</v>
      </c>
      <c r="R133" s="145"/>
      <c r="S133" s="145"/>
      <c r="T133" s="145"/>
      <c r="U133" s="145"/>
      <c r="V133" s="145"/>
      <c r="W133" s="145">
        <f>SUM(W131:W132)</f>
        <v>2566288.27</v>
      </c>
      <c r="X133" s="145">
        <f>SUM(X131:X132)</f>
        <v>0</v>
      </c>
      <c r="Y133" s="124"/>
      <c r="Z133" s="122"/>
      <c r="AA133" s="122"/>
      <c r="AB133" s="122"/>
      <c r="AE133" s="123"/>
    </row>
    <row r="134" spans="1:31" ht="15.75" customHeight="1" x14ac:dyDescent="0.25">
      <c r="A134" s="188" t="s">
        <v>40</v>
      </c>
      <c r="B134" s="188"/>
      <c r="C134" s="149">
        <f>C85+C89+C106+C123+C133+C80+C109+C129+C92</f>
        <v>74304901.590000004</v>
      </c>
      <c r="D134" s="149">
        <f>D85+D89+D106+D123+D133+D80+D109+D129+D92</f>
        <v>7180321.1200000001</v>
      </c>
      <c r="E134" s="149">
        <f>E85+E89+E106+E123+E133+E80+E109+E129+E92</f>
        <v>7180321.1200000001</v>
      </c>
      <c r="F134" s="149"/>
      <c r="G134" s="149"/>
      <c r="H134" s="149"/>
      <c r="I134" s="149"/>
      <c r="J134" s="16">
        <f>J85+J89+J106+J123+J133+J80+J109+J129+J92</f>
        <v>2</v>
      </c>
      <c r="K134" s="149">
        <f>K85+K89+K106+K123+K133+K80+K109+K129+K92</f>
        <v>4498813.62</v>
      </c>
      <c r="L134" s="149">
        <f>L85+L89+L106+L123+L133+L80+L109+L129+L92</f>
        <v>6174.5999999999995</v>
      </c>
      <c r="M134" s="149">
        <f>M85+M89+M106+M123+M133+M80+M109+M129+M92</f>
        <v>21365454.52</v>
      </c>
      <c r="N134" s="149"/>
      <c r="O134" s="149"/>
      <c r="P134" s="149">
        <f>P85+P89+P106+P123+P133+P80+P109+P129+P92</f>
        <v>12600.23</v>
      </c>
      <c r="Q134" s="149">
        <f>Q85+Q89+Q106+Q123+Q133+Q80+Q109+Q129+Q92</f>
        <v>23680777.379999999</v>
      </c>
      <c r="R134" s="149">
        <f>R85+R89+R106+R123+R133+R80+R109+R129+R92</f>
        <v>0</v>
      </c>
      <c r="S134" s="149">
        <f>S85+S89+S106+S123+S133+S80+S109+S129+S92</f>
        <v>0</v>
      </c>
      <c r="T134" s="149"/>
      <c r="U134" s="149"/>
      <c r="V134" s="149"/>
      <c r="W134" s="149">
        <f>W85+W89+W106+W123+W133+W80+W109+W129+W92</f>
        <v>17579534.949999999</v>
      </c>
      <c r="X134" s="149">
        <f>X85+X89+X106+X123+X133+X80+X109+X129+X92</f>
        <v>0</v>
      </c>
      <c r="Y134" s="124"/>
      <c r="Z134" s="122"/>
      <c r="AA134" s="122"/>
      <c r="AB134" s="122"/>
    </row>
    <row r="135" spans="1:31" ht="12.75" customHeight="1" x14ac:dyDescent="0.25">
      <c r="A135" s="204" t="s">
        <v>133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124"/>
      <c r="Z135" s="122"/>
      <c r="AA135" s="121"/>
      <c r="AB135" s="122"/>
    </row>
    <row r="136" spans="1:31" ht="18" customHeight="1" x14ac:dyDescent="0.25">
      <c r="A136" s="188" t="s">
        <v>134</v>
      </c>
      <c r="B136" s="188"/>
      <c r="C136" s="188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24"/>
      <c r="Z136" s="122"/>
      <c r="AA136" s="121"/>
      <c r="AB136" s="122"/>
    </row>
    <row r="137" spans="1:31" ht="18" customHeight="1" x14ac:dyDescent="0.25">
      <c r="A137" s="144">
        <f>A132+1</f>
        <v>81</v>
      </c>
      <c r="B137" s="5" t="s">
        <v>296</v>
      </c>
      <c r="C137" s="145">
        <f>D137+K137+M137+O137+Q137+S137+U137+V137+W137+X137</f>
        <v>5012213.9000000004</v>
      </c>
      <c r="D137" s="145"/>
      <c r="E137" s="143"/>
      <c r="F137" s="143"/>
      <c r="G137" s="143"/>
      <c r="H137" s="143"/>
      <c r="I137" s="143"/>
      <c r="J137" s="143"/>
      <c r="K137" s="143"/>
      <c r="L137" s="143">
        <v>937.6</v>
      </c>
      <c r="M137" s="145">
        <v>5012213.9000000004</v>
      </c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24"/>
      <c r="Z137" s="122"/>
      <c r="AA137" s="121"/>
      <c r="AB137" s="122"/>
    </row>
    <row r="138" spans="1:31" ht="18" customHeight="1" x14ac:dyDescent="0.25">
      <c r="A138" s="144">
        <f>A137+1</f>
        <v>82</v>
      </c>
      <c r="B138" s="5" t="s">
        <v>297</v>
      </c>
      <c r="C138" s="145">
        <f>D138+K138+M138+O138+Q138+S138+U138+V138+W138+X138</f>
        <v>5926426.8499999996</v>
      </c>
      <c r="D138" s="145">
        <f>E138+F138+G138+H138+I138</f>
        <v>2818544.78</v>
      </c>
      <c r="E138" s="143">
        <v>2818544.78</v>
      </c>
      <c r="F138" s="143"/>
      <c r="G138" s="143"/>
      <c r="H138" s="143"/>
      <c r="I138" s="143"/>
      <c r="J138" s="143"/>
      <c r="K138" s="143"/>
      <c r="L138" s="143">
        <v>612.29999999999995</v>
      </c>
      <c r="M138" s="145">
        <v>3107882.07</v>
      </c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24"/>
      <c r="Z138" s="122"/>
      <c r="AA138" s="121"/>
      <c r="AB138" s="122"/>
    </row>
    <row r="139" spans="1:31" ht="18" customHeight="1" x14ac:dyDescent="0.25">
      <c r="A139" s="144">
        <f>A138+1</f>
        <v>83</v>
      </c>
      <c r="B139" s="5" t="s">
        <v>298</v>
      </c>
      <c r="C139" s="145">
        <f>D139+K139+M139+O139+Q139+S139+U139+V139+W139+X139</f>
        <v>12879789.82</v>
      </c>
      <c r="D139" s="145">
        <f>E139+F139+G139+H139+I139</f>
        <v>8244043.1799999997</v>
      </c>
      <c r="E139" s="143">
        <v>4277930.67</v>
      </c>
      <c r="F139" s="143">
        <v>3966112.51</v>
      </c>
      <c r="G139" s="143"/>
      <c r="H139" s="143"/>
      <c r="I139" s="143"/>
      <c r="J139" s="143"/>
      <c r="K139" s="143"/>
      <c r="L139" s="143">
        <v>1019</v>
      </c>
      <c r="M139" s="145">
        <v>4635746.6399999997</v>
      </c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24"/>
      <c r="Z139" s="122"/>
      <c r="AA139" s="121"/>
      <c r="AB139" s="122"/>
    </row>
    <row r="140" spans="1:31" ht="18" customHeight="1" x14ac:dyDescent="0.25">
      <c r="A140" s="144">
        <f>A139+1</f>
        <v>84</v>
      </c>
      <c r="B140" s="5" t="s">
        <v>299</v>
      </c>
      <c r="C140" s="145">
        <f>D140+K140+M140+O140+Q140+S140+U140+V140+W140+X140</f>
        <v>1690083.71</v>
      </c>
      <c r="D140" s="145"/>
      <c r="E140" s="143"/>
      <c r="F140" s="143"/>
      <c r="G140" s="143"/>
      <c r="H140" s="143"/>
      <c r="I140" s="143"/>
      <c r="J140" s="143"/>
      <c r="K140" s="143"/>
      <c r="L140" s="143">
        <v>727</v>
      </c>
      <c r="M140" s="145">
        <v>1690083.71</v>
      </c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24"/>
      <c r="Z140" s="122"/>
      <c r="AA140" s="121"/>
      <c r="AB140" s="122"/>
    </row>
    <row r="141" spans="1:31" ht="18" customHeight="1" x14ac:dyDescent="0.25">
      <c r="A141" s="144">
        <f>A140+1</f>
        <v>85</v>
      </c>
      <c r="B141" s="140" t="s">
        <v>551</v>
      </c>
      <c r="C141" s="145">
        <f>D141+K141+M141+O141+Q141+S141+U141+V141+W141+X141</f>
        <v>2758279.16</v>
      </c>
      <c r="D141" s="145">
        <f>E141+F141+G141+H141+I141</f>
        <v>2758279.16</v>
      </c>
      <c r="E141" s="143">
        <v>2758279.16</v>
      </c>
      <c r="F141" s="143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24"/>
      <c r="Z141" s="122"/>
      <c r="AA141" s="121"/>
      <c r="AB141" s="122"/>
    </row>
    <row r="142" spans="1:31" ht="18" customHeight="1" x14ac:dyDescent="0.25">
      <c r="A142" s="203" t="s">
        <v>18</v>
      </c>
      <c r="B142" s="203"/>
      <c r="C142" s="143">
        <f>SUM(C137:C141)</f>
        <v>28266793.440000001</v>
      </c>
      <c r="D142" s="143">
        <f>SUM(D137:D141)</f>
        <v>13820867.119999999</v>
      </c>
      <c r="E142" s="143">
        <f>SUM(E137:E141)</f>
        <v>9854754.6099999994</v>
      </c>
      <c r="F142" s="143">
        <f>SUM(F137:F141)</f>
        <v>3966112.51</v>
      </c>
      <c r="G142" s="143"/>
      <c r="H142" s="143"/>
      <c r="I142" s="143"/>
      <c r="J142" s="143"/>
      <c r="K142" s="143"/>
      <c r="L142" s="143">
        <f>SUM(L137:L141)</f>
        <v>3295.9</v>
      </c>
      <c r="M142" s="143">
        <f>SUM(M137:M141)</f>
        <v>14445926.32</v>
      </c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>
        <f>SUM(X137:X141)</f>
        <v>0</v>
      </c>
      <c r="Y142" s="124"/>
      <c r="Z142" s="122"/>
      <c r="AA142" s="122"/>
      <c r="AB142" s="122"/>
      <c r="AE142" s="123"/>
    </row>
    <row r="143" spans="1:31" ht="18" customHeight="1" x14ac:dyDescent="0.25">
      <c r="A143" s="189" t="s">
        <v>135</v>
      </c>
      <c r="B143" s="189"/>
      <c r="C143" s="189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24"/>
      <c r="Z143" s="122"/>
      <c r="AA143" s="121"/>
      <c r="AB143" s="122"/>
    </row>
    <row r="144" spans="1:31" ht="18" customHeight="1" x14ac:dyDescent="0.25">
      <c r="A144" s="144">
        <f>A141+1</f>
        <v>86</v>
      </c>
      <c r="B144" s="5" t="s">
        <v>300</v>
      </c>
      <c r="C144" s="145">
        <f>D144+K144+M144+O144+Q144+S144+U144+V144+W144+X144</f>
        <v>1837390.48</v>
      </c>
      <c r="D144" s="145"/>
      <c r="E144" s="143"/>
      <c r="F144" s="143"/>
      <c r="G144" s="143"/>
      <c r="H144" s="143"/>
      <c r="I144" s="143"/>
      <c r="J144" s="143"/>
      <c r="K144" s="143"/>
      <c r="L144" s="143">
        <v>810</v>
      </c>
      <c r="M144" s="145">
        <v>1837390.48</v>
      </c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24"/>
      <c r="Z144" s="122"/>
      <c r="AA144" s="121"/>
      <c r="AB144" s="122"/>
    </row>
    <row r="145" spans="1:31" ht="18" customHeight="1" x14ac:dyDescent="0.25">
      <c r="A145" s="144">
        <f>A144+1</f>
        <v>87</v>
      </c>
      <c r="B145" s="5" t="s">
        <v>301</v>
      </c>
      <c r="C145" s="145">
        <f>D145+K145+M145+O145+Q145+S145+U145+V145+W145+X145</f>
        <v>1649892.87</v>
      </c>
      <c r="D145" s="145"/>
      <c r="E145" s="143"/>
      <c r="F145" s="143"/>
      <c r="G145" s="143"/>
      <c r="H145" s="143"/>
      <c r="I145" s="143"/>
      <c r="J145" s="143"/>
      <c r="K145" s="143"/>
      <c r="L145" s="143">
        <v>615</v>
      </c>
      <c r="M145" s="145">
        <v>1515898.09</v>
      </c>
      <c r="N145" s="143"/>
      <c r="O145" s="143"/>
      <c r="P145" s="143"/>
      <c r="Q145" s="143"/>
      <c r="R145" s="143"/>
      <c r="S145" s="143"/>
      <c r="T145" s="143"/>
      <c r="U145" s="143"/>
      <c r="V145" s="143"/>
      <c r="W145" s="143">
        <v>133994.78</v>
      </c>
      <c r="X145" s="143"/>
      <c r="Y145" s="124"/>
      <c r="Z145" s="122"/>
      <c r="AA145" s="121"/>
      <c r="AB145" s="122"/>
    </row>
    <row r="146" spans="1:31" ht="18" customHeight="1" x14ac:dyDescent="0.25">
      <c r="A146" s="203" t="s">
        <v>18</v>
      </c>
      <c r="B146" s="203"/>
      <c r="C146" s="143">
        <f>SUM(C144:C145)</f>
        <v>3487283.35</v>
      </c>
      <c r="D146" s="143"/>
      <c r="E146" s="143"/>
      <c r="F146" s="143"/>
      <c r="G146" s="143"/>
      <c r="H146" s="143"/>
      <c r="I146" s="143"/>
      <c r="J146" s="143"/>
      <c r="K146" s="143"/>
      <c r="L146" s="143">
        <f>SUM(L144:L145)</f>
        <v>1425</v>
      </c>
      <c r="M146" s="143">
        <f>SUM(M144:M145)</f>
        <v>3353288.5700000003</v>
      </c>
      <c r="N146" s="143"/>
      <c r="O146" s="143"/>
      <c r="P146" s="143"/>
      <c r="Q146" s="143"/>
      <c r="R146" s="143"/>
      <c r="S146" s="143"/>
      <c r="T146" s="143"/>
      <c r="U146" s="143"/>
      <c r="V146" s="143"/>
      <c r="W146" s="143">
        <f>SUM(W144:W145)</f>
        <v>133994.78</v>
      </c>
      <c r="X146" s="143">
        <f>SUM(X144:X145)</f>
        <v>0</v>
      </c>
      <c r="Y146" s="124"/>
      <c r="Z146" s="122"/>
      <c r="AA146" s="122"/>
      <c r="AB146" s="122"/>
      <c r="AE146" s="123"/>
    </row>
    <row r="147" spans="1:31" ht="18" customHeight="1" x14ac:dyDescent="0.25">
      <c r="A147" s="188" t="s">
        <v>136</v>
      </c>
      <c r="B147" s="188"/>
      <c r="C147" s="188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24"/>
      <c r="Z147" s="122"/>
      <c r="AA147" s="121"/>
      <c r="AB147" s="122"/>
    </row>
    <row r="148" spans="1:31" ht="18" customHeight="1" x14ac:dyDescent="0.25">
      <c r="A148" s="144">
        <f>A145+1</f>
        <v>88</v>
      </c>
      <c r="B148" s="5" t="s">
        <v>302</v>
      </c>
      <c r="C148" s="145">
        <f t="shared" ref="C148:C153" si="8">D148+K148+M148+O148+Q148+S148+U148+V148+W148+X148</f>
        <v>2239816.86</v>
      </c>
      <c r="D148" s="145"/>
      <c r="E148" s="28"/>
      <c r="F148" s="28"/>
      <c r="G148" s="28"/>
      <c r="H148" s="28"/>
      <c r="I148" s="28"/>
      <c r="J148" s="28"/>
      <c r="K148" s="28"/>
      <c r="L148" s="145">
        <v>634.58000000000004</v>
      </c>
      <c r="M148" s="145">
        <v>2239816.86</v>
      </c>
      <c r="N148" s="28"/>
      <c r="O148" s="28"/>
      <c r="P148" s="145"/>
      <c r="Q148" s="145"/>
      <c r="R148" s="28"/>
      <c r="S148" s="28"/>
      <c r="T148" s="145"/>
      <c r="U148" s="145"/>
      <c r="V148" s="28"/>
      <c r="W148" s="145"/>
      <c r="X148" s="145"/>
      <c r="Y148" s="124"/>
      <c r="Z148" s="122"/>
      <c r="AA148" s="121"/>
      <c r="AB148" s="122"/>
    </row>
    <row r="149" spans="1:31" ht="18" customHeight="1" x14ac:dyDescent="0.25">
      <c r="A149" s="144">
        <f>A148+1</f>
        <v>89</v>
      </c>
      <c r="B149" s="5" t="s">
        <v>303</v>
      </c>
      <c r="C149" s="145">
        <f t="shared" si="8"/>
        <v>1366243.58</v>
      </c>
      <c r="D149" s="145"/>
      <c r="E149" s="28"/>
      <c r="F149" s="28"/>
      <c r="G149" s="28"/>
      <c r="H149" s="28"/>
      <c r="I149" s="28"/>
      <c r="J149" s="28"/>
      <c r="K149" s="28"/>
      <c r="L149" s="145">
        <v>672.84</v>
      </c>
      <c r="M149" s="145">
        <v>1366243.58</v>
      </c>
      <c r="N149" s="28"/>
      <c r="O149" s="28"/>
      <c r="P149" s="145"/>
      <c r="Q149" s="145"/>
      <c r="R149" s="28"/>
      <c r="S149" s="28"/>
      <c r="T149" s="145"/>
      <c r="U149" s="145"/>
      <c r="V149" s="28"/>
      <c r="W149" s="145"/>
      <c r="X149" s="145"/>
      <c r="Y149" s="124"/>
      <c r="Z149" s="122"/>
      <c r="AA149" s="121"/>
      <c r="AB149" s="122"/>
    </row>
    <row r="150" spans="1:31" ht="18" customHeight="1" x14ac:dyDescent="0.25">
      <c r="A150" s="144">
        <f>A149+1</f>
        <v>90</v>
      </c>
      <c r="B150" s="5" t="s">
        <v>304</v>
      </c>
      <c r="C150" s="145">
        <f t="shared" si="8"/>
        <v>1914599.33</v>
      </c>
      <c r="D150" s="145"/>
      <c r="E150" s="28"/>
      <c r="F150" s="28"/>
      <c r="G150" s="28"/>
      <c r="H150" s="28"/>
      <c r="I150" s="28"/>
      <c r="J150" s="28"/>
      <c r="K150" s="28"/>
      <c r="L150" s="145"/>
      <c r="M150" s="145"/>
      <c r="N150" s="28"/>
      <c r="O150" s="28"/>
      <c r="P150" s="145"/>
      <c r="Q150" s="145"/>
      <c r="R150" s="28"/>
      <c r="S150" s="28"/>
      <c r="T150" s="145">
        <v>368</v>
      </c>
      <c r="U150" s="145">
        <v>1914599.33</v>
      </c>
      <c r="V150" s="28"/>
      <c r="W150" s="145"/>
      <c r="X150" s="145"/>
      <c r="Y150" s="124"/>
      <c r="Z150" s="122"/>
      <c r="AA150" s="121"/>
      <c r="AB150" s="122"/>
    </row>
    <row r="151" spans="1:31" ht="18" customHeight="1" x14ac:dyDescent="0.25">
      <c r="A151" s="144">
        <f>A150+1</f>
        <v>91</v>
      </c>
      <c r="B151" s="5" t="s">
        <v>305</v>
      </c>
      <c r="C151" s="145">
        <f t="shared" si="8"/>
        <v>1934954.35</v>
      </c>
      <c r="D151" s="145"/>
      <c r="E151" s="28"/>
      <c r="F151" s="28"/>
      <c r="G151" s="28"/>
      <c r="H151" s="28"/>
      <c r="I151" s="28"/>
      <c r="J151" s="28"/>
      <c r="K151" s="28"/>
      <c r="L151" s="145"/>
      <c r="M151" s="145"/>
      <c r="N151" s="28"/>
      <c r="O151" s="28"/>
      <c r="P151" s="145"/>
      <c r="Q151" s="145"/>
      <c r="R151" s="28"/>
      <c r="S151" s="28"/>
      <c r="T151" s="145">
        <v>368</v>
      </c>
      <c r="U151" s="145">
        <v>1934954.35</v>
      </c>
      <c r="V151" s="28"/>
      <c r="W151" s="145"/>
      <c r="X151" s="145"/>
      <c r="Y151" s="124"/>
      <c r="Z151" s="122"/>
      <c r="AA151" s="121"/>
      <c r="AB151" s="122"/>
    </row>
    <row r="152" spans="1:31" ht="18" customHeight="1" x14ac:dyDescent="0.25">
      <c r="A152" s="144">
        <f>A151+1</f>
        <v>92</v>
      </c>
      <c r="B152" s="5" t="s">
        <v>306</v>
      </c>
      <c r="C152" s="145">
        <f t="shared" si="8"/>
        <v>1914599.33</v>
      </c>
      <c r="D152" s="145"/>
      <c r="E152" s="28"/>
      <c r="F152" s="28"/>
      <c r="G152" s="28"/>
      <c r="H152" s="28"/>
      <c r="I152" s="28"/>
      <c r="J152" s="28"/>
      <c r="K152" s="28"/>
      <c r="L152" s="145"/>
      <c r="M152" s="145"/>
      <c r="N152" s="28"/>
      <c r="O152" s="28"/>
      <c r="P152" s="145"/>
      <c r="Q152" s="145"/>
      <c r="R152" s="28"/>
      <c r="S152" s="28"/>
      <c r="T152" s="145">
        <v>368</v>
      </c>
      <c r="U152" s="145">
        <v>1914599.33</v>
      </c>
      <c r="V152" s="28"/>
      <c r="W152" s="145"/>
      <c r="X152" s="145"/>
      <c r="Y152" s="124"/>
      <c r="Z152" s="122"/>
      <c r="AA152" s="121"/>
      <c r="AB152" s="122"/>
    </row>
    <row r="153" spans="1:31" ht="18" customHeight="1" x14ac:dyDescent="0.25">
      <c r="A153" s="144">
        <f>A152+1</f>
        <v>93</v>
      </c>
      <c r="B153" s="5" t="s">
        <v>307</v>
      </c>
      <c r="C153" s="145">
        <f t="shared" si="8"/>
        <v>2936726.12</v>
      </c>
      <c r="D153" s="145"/>
      <c r="E153" s="28"/>
      <c r="F153" s="28"/>
      <c r="G153" s="28"/>
      <c r="H153" s="28"/>
      <c r="I153" s="28"/>
      <c r="J153" s="28"/>
      <c r="K153" s="28"/>
      <c r="L153" s="145"/>
      <c r="M153" s="145"/>
      <c r="N153" s="28"/>
      <c r="O153" s="28"/>
      <c r="P153" s="145"/>
      <c r="Q153" s="145"/>
      <c r="R153" s="28"/>
      <c r="S153" s="28"/>
      <c r="T153" s="145">
        <v>629</v>
      </c>
      <c r="U153" s="145">
        <v>2936726.12</v>
      </c>
      <c r="V153" s="28"/>
      <c r="W153" s="145"/>
      <c r="X153" s="145"/>
      <c r="Y153" s="124"/>
      <c r="Z153" s="122"/>
      <c r="AA153" s="121"/>
      <c r="AB153" s="122"/>
    </row>
    <row r="154" spans="1:31" ht="18" customHeight="1" x14ac:dyDescent="0.25">
      <c r="A154" s="203" t="s">
        <v>18</v>
      </c>
      <c r="B154" s="203"/>
      <c r="C154" s="143">
        <f>SUM(C148:C153)</f>
        <v>12306939.57</v>
      </c>
      <c r="D154" s="143"/>
      <c r="E154" s="143"/>
      <c r="F154" s="143"/>
      <c r="G154" s="143"/>
      <c r="H154" s="143"/>
      <c r="I154" s="143"/>
      <c r="J154" s="143"/>
      <c r="K154" s="143"/>
      <c r="L154" s="143">
        <f>SUM(L148:L153)</f>
        <v>1307.42</v>
      </c>
      <c r="M154" s="143">
        <f>SUM(M148:M153)</f>
        <v>3606060.44</v>
      </c>
      <c r="N154" s="143"/>
      <c r="O154" s="143"/>
      <c r="P154" s="143"/>
      <c r="Q154" s="143"/>
      <c r="R154" s="143"/>
      <c r="S154" s="143"/>
      <c r="T154" s="143">
        <f>SUM(T148:T153)</f>
        <v>1733</v>
      </c>
      <c r="U154" s="143">
        <f>SUM(U148:U153)</f>
        <v>8700879.129999999</v>
      </c>
      <c r="V154" s="143"/>
      <c r="W154" s="143"/>
      <c r="X154" s="143">
        <f>SUM(X148:X153)</f>
        <v>0</v>
      </c>
      <c r="Y154" s="124"/>
      <c r="Z154" s="122"/>
      <c r="AA154" s="122"/>
      <c r="AB154" s="122"/>
      <c r="AE154" s="123"/>
    </row>
    <row r="155" spans="1:31" ht="18" customHeight="1" x14ac:dyDescent="0.25">
      <c r="A155" s="188" t="s">
        <v>137</v>
      </c>
      <c r="B155" s="188"/>
      <c r="C155" s="188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24"/>
      <c r="Z155" s="122"/>
      <c r="AA155" s="121"/>
      <c r="AB155" s="122"/>
    </row>
    <row r="156" spans="1:31" ht="18" customHeight="1" x14ac:dyDescent="0.25">
      <c r="A156" s="144">
        <f>A153+1</f>
        <v>94</v>
      </c>
      <c r="B156" s="5" t="s">
        <v>308</v>
      </c>
      <c r="C156" s="145">
        <f t="shared" ref="C156:C161" si="9">D156+K156+M156+O156+Q156+S156+U156+V156+W156+X156</f>
        <v>718482.76</v>
      </c>
      <c r="D156" s="145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5">
        <f>425050.09+293432.67</f>
        <v>718482.76</v>
      </c>
      <c r="X156" s="145"/>
      <c r="Y156" s="124"/>
      <c r="Z156" s="122"/>
      <c r="AA156" s="121"/>
      <c r="AB156" s="122"/>
    </row>
    <row r="157" spans="1:31" ht="18" customHeight="1" x14ac:dyDescent="0.25">
      <c r="A157" s="144">
        <f>A156+1</f>
        <v>95</v>
      </c>
      <c r="B157" s="5" t="s">
        <v>309</v>
      </c>
      <c r="C157" s="145">
        <f t="shared" si="9"/>
        <v>493821.67</v>
      </c>
      <c r="D157" s="145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5">
        <v>493821.67</v>
      </c>
      <c r="X157" s="145"/>
      <c r="Y157" s="124"/>
      <c r="Z157" s="122"/>
      <c r="AA157" s="121"/>
      <c r="AB157" s="122"/>
    </row>
    <row r="158" spans="1:31" ht="18" customHeight="1" x14ac:dyDescent="0.25">
      <c r="A158" s="144">
        <f>A157+1</f>
        <v>96</v>
      </c>
      <c r="B158" s="140" t="s">
        <v>552</v>
      </c>
      <c r="C158" s="145">
        <f t="shared" si="9"/>
        <v>3272050.32</v>
      </c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3">
        <v>1800</v>
      </c>
      <c r="Q158" s="143">
        <v>3272050.32</v>
      </c>
      <c r="R158" s="142"/>
      <c r="S158" s="142"/>
      <c r="T158" s="142"/>
      <c r="U158" s="142"/>
      <c r="V158" s="142"/>
      <c r="W158" s="142"/>
      <c r="X158" s="142"/>
      <c r="Y158" s="124"/>
      <c r="Z158" s="122"/>
      <c r="AA158" s="121"/>
      <c r="AB158" s="122"/>
    </row>
    <row r="159" spans="1:31" ht="18" customHeight="1" x14ac:dyDescent="0.25">
      <c r="A159" s="144">
        <f>A158+1</f>
        <v>97</v>
      </c>
      <c r="B159" s="5" t="s">
        <v>310</v>
      </c>
      <c r="C159" s="145">
        <f t="shared" si="9"/>
        <v>743484.56</v>
      </c>
      <c r="D159" s="145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5">
        <f>436005.89+307478.67</f>
        <v>743484.56</v>
      </c>
      <c r="X159" s="145"/>
      <c r="Y159" s="124"/>
      <c r="Z159" s="122"/>
      <c r="AA159" s="126"/>
      <c r="AB159" s="122"/>
    </row>
    <row r="160" spans="1:31" ht="18" customHeight="1" x14ac:dyDescent="0.25">
      <c r="A160" s="144">
        <f>A159+1</f>
        <v>98</v>
      </c>
      <c r="B160" s="5" t="s">
        <v>311</v>
      </c>
      <c r="C160" s="145">
        <f t="shared" si="9"/>
        <v>454645.45</v>
      </c>
      <c r="D160" s="145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5">
        <v>454645.45</v>
      </c>
      <c r="X160" s="145"/>
      <c r="Y160" s="124"/>
      <c r="Z160" s="122"/>
      <c r="AA160" s="126"/>
      <c r="AB160" s="122"/>
    </row>
    <row r="161" spans="1:31" ht="18" customHeight="1" x14ac:dyDescent="0.25">
      <c r="A161" s="144">
        <f>A160+1</f>
        <v>99</v>
      </c>
      <c r="B161" s="140" t="s">
        <v>553</v>
      </c>
      <c r="C161" s="145">
        <f t="shared" si="9"/>
        <v>1298451.94</v>
      </c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3">
        <v>734</v>
      </c>
      <c r="Q161" s="143">
        <v>1298451.94</v>
      </c>
      <c r="R161" s="142"/>
      <c r="S161" s="142"/>
      <c r="T161" s="142"/>
      <c r="U161" s="142"/>
      <c r="V161" s="142"/>
      <c r="W161" s="142"/>
      <c r="X161" s="142"/>
      <c r="Y161" s="124"/>
      <c r="Z161" s="122"/>
      <c r="AA161" s="121"/>
      <c r="AB161" s="122"/>
    </row>
    <row r="162" spans="1:31" ht="18" customHeight="1" x14ac:dyDescent="0.25">
      <c r="A162" s="203" t="s">
        <v>18</v>
      </c>
      <c r="B162" s="203"/>
      <c r="C162" s="143">
        <f>SUM(C156:C161)</f>
        <v>6980936.7000000011</v>
      </c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>
        <f>SUM(P156:P161)</f>
        <v>2534</v>
      </c>
      <c r="Q162" s="143">
        <f>SUM(Q156:Q161)</f>
        <v>4570502.26</v>
      </c>
      <c r="R162" s="143"/>
      <c r="S162" s="143"/>
      <c r="T162" s="143"/>
      <c r="U162" s="143"/>
      <c r="V162" s="143"/>
      <c r="W162" s="143">
        <f>SUM(W156:W161)</f>
        <v>2410434.44</v>
      </c>
      <c r="X162" s="143">
        <f>SUM(X156:X161)</f>
        <v>0</v>
      </c>
      <c r="Y162" s="124"/>
      <c r="Z162" s="122"/>
      <c r="AA162" s="122"/>
      <c r="AB162" s="122"/>
      <c r="AE162" s="123"/>
    </row>
    <row r="163" spans="1:31" ht="18" customHeight="1" x14ac:dyDescent="0.25">
      <c r="A163" s="188" t="s">
        <v>138</v>
      </c>
      <c r="B163" s="188"/>
      <c r="C163" s="188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24"/>
      <c r="Z163" s="122"/>
      <c r="AA163" s="121"/>
      <c r="AB163" s="122"/>
    </row>
    <row r="164" spans="1:31" ht="18" customHeight="1" x14ac:dyDescent="0.25">
      <c r="A164" s="144">
        <f>A161+1</f>
        <v>100</v>
      </c>
      <c r="B164" s="5" t="s">
        <v>312</v>
      </c>
      <c r="C164" s="145">
        <f>D164+K164+M164+O164+Q164+S164+U164+V164+W164+X164</f>
        <v>9699899.9900000002</v>
      </c>
      <c r="D164" s="145"/>
      <c r="E164" s="143"/>
      <c r="F164" s="143"/>
      <c r="G164" s="143"/>
      <c r="H164" s="143"/>
      <c r="I164" s="143"/>
      <c r="J164" s="144">
        <v>5</v>
      </c>
      <c r="K164" s="143">
        <v>9699899.9900000002</v>
      </c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24"/>
      <c r="Z164" s="122"/>
      <c r="AA164" s="121"/>
      <c r="AB164" s="122"/>
    </row>
    <row r="165" spans="1:31" ht="18" customHeight="1" x14ac:dyDescent="0.25">
      <c r="A165" s="203" t="s">
        <v>18</v>
      </c>
      <c r="B165" s="203"/>
      <c r="C165" s="143">
        <f>SUM(C164:C164)</f>
        <v>9699899.9900000002</v>
      </c>
      <c r="D165" s="143"/>
      <c r="E165" s="143"/>
      <c r="F165" s="143"/>
      <c r="G165" s="143"/>
      <c r="H165" s="143"/>
      <c r="I165" s="143"/>
      <c r="J165" s="144">
        <f>SUM(J164:J164)</f>
        <v>5</v>
      </c>
      <c r="K165" s="143">
        <f>SUM(K164:K164)</f>
        <v>9699899.9900000002</v>
      </c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24"/>
      <c r="Z165" s="122"/>
      <c r="AA165" s="122"/>
      <c r="AB165" s="122"/>
      <c r="AE165" s="123"/>
    </row>
    <row r="166" spans="1:31" ht="18" customHeight="1" x14ac:dyDescent="0.25">
      <c r="A166" s="188" t="s">
        <v>139</v>
      </c>
      <c r="B166" s="188"/>
      <c r="C166" s="188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24"/>
      <c r="Z166" s="122"/>
      <c r="AA166" s="121"/>
      <c r="AB166" s="122"/>
    </row>
    <row r="167" spans="1:31" ht="18" customHeight="1" x14ac:dyDescent="0.25">
      <c r="A167" s="144">
        <f>A164+1</f>
        <v>101</v>
      </c>
      <c r="B167" s="5" t="s">
        <v>313</v>
      </c>
      <c r="C167" s="145">
        <f t="shared" ref="C167:C173" si="10">D167+K167+M167+O167+Q167+S167+U167+V167+W167+X167</f>
        <v>763729.64999999991</v>
      </c>
      <c r="D167" s="145"/>
      <c r="E167" s="143"/>
      <c r="F167" s="143"/>
      <c r="G167" s="143"/>
      <c r="H167" s="143"/>
      <c r="I167" s="143"/>
      <c r="J167" s="28"/>
      <c r="K167" s="28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>
        <f>224030.06+539699.59</f>
        <v>763729.64999999991</v>
      </c>
      <c r="X167" s="143"/>
      <c r="Y167" s="124"/>
      <c r="Z167" s="122"/>
      <c r="AA167" s="121"/>
      <c r="AB167" s="122"/>
    </row>
    <row r="168" spans="1:31" ht="18" customHeight="1" x14ac:dyDescent="0.25">
      <c r="A168" s="144">
        <f t="shared" ref="A168:A173" si="11">A167+1</f>
        <v>102</v>
      </c>
      <c r="B168" s="5" t="s">
        <v>314</v>
      </c>
      <c r="C168" s="145">
        <f t="shared" si="10"/>
        <v>772929.21</v>
      </c>
      <c r="D168" s="145"/>
      <c r="E168" s="143"/>
      <c r="F168" s="143"/>
      <c r="G168" s="143"/>
      <c r="H168" s="143"/>
      <c r="I168" s="143"/>
      <c r="J168" s="28"/>
      <c r="K168" s="28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>
        <f>227508.71+545420.5</f>
        <v>772929.21</v>
      </c>
      <c r="X168" s="143"/>
      <c r="Y168" s="124"/>
      <c r="Z168" s="122"/>
      <c r="AA168" s="127"/>
      <c r="AB168" s="122"/>
    </row>
    <row r="169" spans="1:31" ht="18" customHeight="1" x14ac:dyDescent="0.25">
      <c r="A169" s="144">
        <f t="shared" si="11"/>
        <v>103</v>
      </c>
      <c r="B169" s="5" t="s">
        <v>315</v>
      </c>
      <c r="C169" s="145">
        <f t="shared" si="10"/>
        <v>4567583.8699999992</v>
      </c>
      <c r="D169" s="145"/>
      <c r="E169" s="143"/>
      <c r="F169" s="143"/>
      <c r="G169" s="143"/>
      <c r="H169" s="143"/>
      <c r="I169" s="143"/>
      <c r="J169" s="28"/>
      <c r="K169" s="28"/>
      <c r="L169" s="143">
        <v>590</v>
      </c>
      <c r="M169" s="145">
        <v>2242618.0699999998</v>
      </c>
      <c r="N169" s="143"/>
      <c r="O169" s="143"/>
      <c r="P169" s="143">
        <v>476</v>
      </c>
      <c r="Q169" s="145">
        <v>2324965.7999999998</v>
      </c>
      <c r="R169" s="143"/>
      <c r="S169" s="143"/>
      <c r="T169" s="143"/>
      <c r="U169" s="143"/>
      <c r="V169" s="28"/>
      <c r="W169" s="145"/>
      <c r="X169" s="145"/>
      <c r="Y169" s="124"/>
      <c r="Z169" s="122"/>
      <c r="AA169" s="122"/>
      <c r="AB169" s="122"/>
    </row>
    <row r="170" spans="1:31" ht="18" customHeight="1" x14ac:dyDescent="0.25">
      <c r="A170" s="144">
        <f t="shared" si="11"/>
        <v>104</v>
      </c>
      <c r="B170" s="5" t="s">
        <v>316</v>
      </c>
      <c r="C170" s="145">
        <f t="shared" si="10"/>
        <v>4569736.9800000004</v>
      </c>
      <c r="D170" s="145"/>
      <c r="E170" s="143"/>
      <c r="F170" s="143"/>
      <c r="G170" s="143"/>
      <c r="H170" s="143"/>
      <c r="I170" s="143"/>
      <c r="J170" s="28"/>
      <c r="K170" s="28"/>
      <c r="L170" s="143">
        <v>590</v>
      </c>
      <c r="M170" s="145">
        <v>2244771.1800000002</v>
      </c>
      <c r="N170" s="143"/>
      <c r="O170" s="143"/>
      <c r="P170" s="143">
        <v>484</v>
      </c>
      <c r="Q170" s="145">
        <v>2324965.7999999998</v>
      </c>
      <c r="R170" s="143"/>
      <c r="S170" s="143"/>
      <c r="T170" s="143"/>
      <c r="U170" s="143"/>
      <c r="V170" s="28"/>
      <c r="W170" s="143"/>
      <c r="X170" s="143"/>
      <c r="Y170" s="124"/>
      <c r="Z170" s="122"/>
      <c r="AA170" s="122"/>
      <c r="AB170" s="122"/>
    </row>
    <row r="171" spans="1:31" ht="18" customHeight="1" x14ac:dyDescent="0.25">
      <c r="A171" s="144">
        <f t="shared" si="11"/>
        <v>105</v>
      </c>
      <c r="B171" s="140" t="s">
        <v>554</v>
      </c>
      <c r="C171" s="145">
        <f t="shared" si="10"/>
        <v>2075160.69</v>
      </c>
      <c r="D171" s="145">
        <f>E171+F171+G171+H171+I171</f>
        <v>2075160.69</v>
      </c>
      <c r="E171" s="143">
        <v>2075160.69</v>
      </c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24"/>
      <c r="Z171" s="122"/>
      <c r="AA171" s="121"/>
      <c r="AB171" s="122"/>
    </row>
    <row r="172" spans="1:31" ht="18" customHeight="1" x14ac:dyDescent="0.25">
      <c r="A172" s="144">
        <f t="shared" si="11"/>
        <v>106</v>
      </c>
      <c r="B172" s="5" t="s">
        <v>317</v>
      </c>
      <c r="C172" s="145">
        <f t="shared" si="10"/>
        <v>475983.54</v>
      </c>
      <c r="D172" s="145"/>
      <c r="E172" s="143"/>
      <c r="F172" s="143"/>
      <c r="G172" s="143"/>
      <c r="H172" s="143"/>
      <c r="I172" s="143"/>
      <c r="J172" s="28"/>
      <c r="K172" s="28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28"/>
      <c r="W172" s="145">
        <f>196120.88+279862.66</f>
        <v>475983.54</v>
      </c>
      <c r="X172" s="145"/>
      <c r="Y172" s="124"/>
      <c r="Z172" s="122"/>
      <c r="AA172" s="121"/>
      <c r="AB172" s="122"/>
    </row>
    <row r="173" spans="1:31" ht="18" customHeight="1" x14ac:dyDescent="0.25">
      <c r="A173" s="144">
        <f t="shared" si="11"/>
        <v>107</v>
      </c>
      <c r="B173" s="5" t="s">
        <v>318</v>
      </c>
      <c r="C173" s="145">
        <f t="shared" si="10"/>
        <v>302407.39</v>
      </c>
      <c r="D173" s="145"/>
      <c r="E173" s="143"/>
      <c r="F173" s="143"/>
      <c r="G173" s="143"/>
      <c r="H173" s="143"/>
      <c r="I173" s="143"/>
      <c r="J173" s="28"/>
      <c r="K173" s="28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28"/>
      <c r="W173" s="143">
        <v>302407.39</v>
      </c>
      <c r="X173" s="143"/>
      <c r="Y173" s="124"/>
      <c r="Z173" s="122"/>
      <c r="AA173" s="121"/>
      <c r="AB173" s="122"/>
    </row>
    <row r="174" spans="1:31" ht="18" customHeight="1" x14ac:dyDescent="0.25">
      <c r="A174" s="203" t="s">
        <v>18</v>
      </c>
      <c r="B174" s="203"/>
      <c r="C174" s="145">
        <f>SUM(C167:C173)</f>
        <v>13527531.329999998</v>
      </c>
      <c r="D174" s="145">
        <f>SUM(D167:D173)</f>
        <v>2075160.69</v>
      </c>
      <c r="E174" s="145">
        <f>SUM(E167:E173)</f>
        <v>2075160.69</v>
      </c>
      <c r="F174" s="145"/>
      <c r="G174" s="145"/>
      <c r="H174" s="145"/>
      <c r="I174" s="145"/>
      <c r="J174" s="145"/>
      <c r="K174" s="145"/>
      <c r="L174" s="145">
        <f>SUM(L167:L173)</f>
        <v>1180</v>
      </c>
      <c r="M174" s="145">
        <f>SUM(M167:M173)</f>
        <v>4487389.25</v>
      </c>
      <c r="N174" s="145"/>
      <c r="O174" s="145"/>
      <c r="P174" s="145">
        <f>SUM(P167:P173)</f>
        <v>960</v>
      </c>
      <c r="Q174" s="145">
        <f>SUM(Q167:Q173)</f>
        <v>4649931.5999999996</v>
      </c>
      <c r="R174" s="145"/>
      <c r="S174" s="145"/>
      <c r="T174" s="145"/>
      <c r="U174" s="145"/>
      <c r="V174" s="145"/>
      <c r="W174" s="145">
        <f>SUM(W167:W173)</f>
        <v>2315049.79</v>
      </c>
      <c r="X174" s="145">
        <f>SUM(X167:X173)</f>
        <v>0</v>
      </c>
      <c r="Y174" s="124"/>
      <c r="Z174" s="122"/>
      <c r="AA174" s="122"/>
      <c r="AB174" s="122"/>
      <c r="AE174" s="123"/>
    </row>
    <row r="175" spans="1:31" ht="18" customHeight="1" x14ac:dyDescent="0.25">
      <c r="A175" s="188" t="s">
        <v>140</v>
      </c>
      <c r="B175" s="188"/>
      <c r="C175" s="188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24"/>
      <c r="Z175" s="122"/>
      <c r="AA175" s="121"/>
      <c r="AB175" s="122"/>
    </row>
    <row r="176" spans="1:31" ht="18" customHeight="1" x14ac:dyDescent="0.25">
      <c r="A176" s="144">
        <f>A173+1</f>
        <v>108</v>
      </c>
      <c r="B176" s="36" t="s">
        <v>319</v>
      </c>
      <c r="C176" s="145">
        <f t="shared" ref="C176:C182" si="12">D176+K176+M176+O176+Q176+S176+U176+V176+W176+X176</f>
        <v>299505</v>
      </c>
      <c r="D176" s="145">
        <f>E176+F176+G176+H176+I176</f>
        <v>299505</v>
      </c>
      <c r="E176" s="143">
        <v>299505</v>
      </c>
      <c r="F176" s="143"/>
      <c r="G176" s="143"/>
      <c r="H176" s="143"/>
      <c r="I176" s="143"/>
      <c r="J176" s="143"/>
      <c r="K176" s="143"/>
      <c r="L176" s="142"/>
      <c r="M176" s="142"/>
      <c r="N176" s="142"/>
      <c r="O176" s="142"/>
      <c r="P176" s="143"/>
      <c r="Q176" s="143"/>
      <c r="R176" s="143"/>
      <c r="S176" s="143"/>
      <c r="T176" s="143"/>
      <c r="U176" s="143"/>
      <c r="V176" s="28"/>
      <c r="W176" s="145"/>
      <c r="X176" s="145"/>
      <c r="Y176" s="124"/>
      <c r="Z176" s="122"/>
      <c r="AA176" s="126"/>
      <c r="AB176" s="122"/>
    </row>
    <row r="177" spans="1:31" ht="18" customHeight="1" x14ac:dyDescent="0.25">
      <c r="A177" s="144">
        <f t="shared" ref="A177:A182" si="13">A176+1</f>
        <v>109</v>
      </c>
      <c r="B177" s="36" t="s">
        <v>320</v>
      </c>
      <c r="C177" s="145">
        <f t="shared" si="12"/>
        <v>318478.03999999998</v>
      </c>
      <c r="D177" s="145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28"/>
      <c r="W177" s="145">
        <v>318478.03999999998</v>
      </c>
      <c r="X177" s="145"/>
      <c r="Y177" s="124"/>
      <c r="Z177" s="122"/>
      <c r="AA177" s="126"/>
      <c r="AB177" s="122"/>
    </row>
    <row r="178" spans="1:31" ht="18" customHeight="1" x14ac:dyDescent="0.25">
      <c r="A178" s="144">
        <f t="shared" si="13"/>
        <v>110</v>
      </c>
      <c r="B178" s="36" t="s">
        <v>321</v>
      </c>
      <c r="C178" s="145">
        <f t="shared" si="12"/>
        <v>1751361.83</v>
      </c>
      <c r="D178" s="145"/>
      <c r="E178" s="142"/>
      <c r="F178" s="143"/>
      <c r="G178" s="142"/>
      <c r="H178" s="143"/>
      <c r="I178" s="143"/>
      <c r="J178" s="143"/>
      <c r="K178" s="143"/>
      <c r="L178" s="143">
        <v>439</v>
      </c>
      <c r="M178" s="145">
        <v>1751361.83</v>
      </c>
      <c r="N178" s="142"/>
      <c r="O178" s="142"/>
      <c r="P178" s="143"/>
      <c r="Q178" s="143"/>
      <c r="R178" s="143"/>
      <c r="S178" s="143"/>
      <c r="T178" s="143"/>
      <c r="U178" s="143"/>
      <c r="V178" s="28"/>
      <c r="W178" s="143"/>
      <c r="X178" s="143"/>
      <c r="Y178" s="124"/>
      <c r="Z178" s="122"/>
      <c r="AA178" s="121"/>
      <c r="AB178" s="122"/>
    </row>
    <row r="179" spans="1:31" ht="18" customHeight="1" x14ac:dyDescent="0.25">
      <c r="A179" s="144">
        <f t="shared" si="13"/>
        <v>111</v>
      </c>
      <c r="B179" s="36" t="s">
        <v>322</v>
      </c>
      <c r="C179" s="145">
        <f t="shared" si="12"/>
        <v>401824</v>
      </c>
      <c r="D179" s="145">
        <f>E179+F179+G179+H179+I179</f>
        <v>401824</v>
      </c>
      <c r="E179" s="143">
        <v>401824</v>
      </c>
      <c r="F179" s="143"/>
      <c r="G179" s="142"/>
      <c r="H179" s="143"/>
      <c r="I179" s="143"/>
      <c r="J179" s="143"/>
      <c r="K179" s="143"/>
      <c r="L179" s="142"/>
      <c r="M179" s="142"/>
      <c r="N179" s="142"/>
      <c r="O179" s="142"/>
      <c r="P179" s="143"/>
      <c r="Q179" s="143"/>
      <c r="R179" s="143"/>
      <c r="S179" s="143"/>
      <c r="T179" s="143"/>
      <c r="U179" s="143"/>
      <c r="V179" s="28"/>
      <c r="W179" s="143"/>
      <c r="X179" s="143"/>
      <c r="Y179" s="124"/>
      <c r="Z179" s="122"/>
      <c r="AA179" s="121"/>
      <c r="AB179" s="122"/>
    </row>
    <row r="180" spans="1:31" ht="18" customHeight="1" x14ac:dyDescent="0.25">
      <c r="A180" s="144">
        <f t="shared" si="13"/>
        <v>112</v>
      </c>
      <c r="B180" s="36" t="s">
        <v>323</v>
      </c>
      <c r="C180" s="145">
        <f t="shared" si="12"/>
        <v>593384.24</v>
      </c>
      <c r="D180" s="145">
        <f>E180+F180+G180+H180+I180</f>
        <v>593384.24</v>
      </c>
      <c r="E180" s="143">
        <v>593384.24</v>
      </c>
      <c r="F180" s="143"/>
      <c r="G180" s="142"/>
      <c r="H180" s="143"/>
      <c r="I180" s="143"/>
      <c r="J180" s="143"/>
      <c r="K180" s="143"/>
      <c r="L180" s="142"/>
      <c r="M180" s="142"/>
      <c r="N180" s="142"/>
      <c r="O180" s="142"/>
      <c r="P180" s="143"/>
      <c r="Q180" s="143"/>
      <c r="R180" s="143"/>
      <c r="S180" s="143"/>
      <c r="T180" s="143"/>
      <c r="U180" s="143"/>
      <c r="V180" s="28"/>
      <c r="W180" s="145"/>
      <c r="X180" s="145"/>
      <c r="Y180" s="124"/>
      <c r="Z180" s="122"/>
      <c r="AA180" s="128"/>
      <c r="AB180" s="122"/>
    </row>
    <row r="181" spans="1:31" ht="18" customHeight="1" x14ac:dyDescent="0.25">
      <c r="A181" s="144">
        <f t="shared" si="13"/>
        <v>113</v>
      </c>
      <c r="B181" s="36" t="s">
        <v>324</v>
      </c>
      <c r="C181" s="145">
        <f t="shared" si="12"/>
        <v>419049</v>
      </c>
      <c r="D181" s="145">
        <f>E181+F181+G181+H181+I181</f>
        <v>419049</v>
      </c>
      <c r="E181" s="143">
        <v>419049</v>
      </c>
      <c r="F181" s="143"/>
      <c r="G181" s="142"/>
      <c r="H181" s="143"/>
      <c r="I181" s="143"/>
      <c r="J181" s="143"/>
      <c r="K181" s="143"/>
      <c r="L181" s="142"/>
      <c r="M181" s="142"/>
      <c r="N181" s="142"/>
      <c r="O181" s="142"/>
      <c r="P181" s="143"/>
      <c r="Q181" s="143"/>
      <c r="R181" s="143"/>
      <c r="S181" s="143"/>
      <c r="T181" s="143"/>
      <c r="U181" s="143"/>
      <c r="V181" s="28"/>
      <c r="W181" s="145"/>
      <c r="X181" s="145"/>
      <c r="Y181" s="124"/>
      <c r="Z181" s="122"/>
      <c r="AA181" s="126"/>
      <c r="AB181" s="122"/>
    </row>
    <row r="182" spans="1:31" ht="18" customHeight="1" x14ac:dyDescent="0.25">
      <c r="A182" s="144">
        <f t="shared" si="13"/>
        <v>114</v>
      </c>
      <c r="B182" s="36" t="s">
        <v>325</v>
      </c>
      <c r="C182" s="145">
        <f t="shared" si="12"/>
        <v>593838.54</v>
      </c>
      <c r="D182" s="145">
        <f>E182+F182+G182+H182+I182</f>
        <v>593838.54</v>
      </c>
      <c r="E182" s="143">
        <v>593838.54</v>
      </c>
      <c r="F182" s="143"/>
      <c r="G182" s="142"/>
      <c r="H182" s="143"/>
      <c r="I182" s="143"/>
      <c r="J182" s="143"/>
      <c r="K182" s="143"/>
      <c r="L182" s="142"/>
      <c r="M182" s="142"/>
      <c r="N182" s="142"/>
      <c r="O182" s="142"/>
      <c r="P182" s="143"/>
      <c r="Q182" s="143"/>
      <c r="R182" s="143"/>
      <c r="S182" s="143"/>
      <c r="T182" s="143"/>
      <c r="U182" s="143"/>
      <c r="V182" s="28"/>
      <c r="W182" s="145"/>
      <c r="X182" s="145"/>
      <c r="Y182" s="124"/>
      <c r="Z182" s="122"/>
      <c r="AA182" s="126"/>
      <c r="AB182" s="122"/>
    </row>
    <row r="183" spans="1:31" ht="18" customHeight="1" x14ac:dyDescent="0.25">
      <c r="A183" s="203" t="s">
        <v>18</v>
      </c>
      <c r="B183" s="203"/>
      <c r="C183" s="143">
        <f>SUM(C176:C182)</f>
        <v>4377440.6500000004</v>
      </c>
      <c r="D183" s="143">
        <f>SUM(D176:D182)</f>
        <v>2307600.7800000003</v>
      </c>
      <c r="E183" s="143">
        <f>SUM(E176:E182)</f>
        <v>2307600.7800000003</v>
      </c>
      <c r="F183" s="143"/>
      <c r="G183" s="143"/>
      <c r="H183" s="143"/>
      <c r="I183" s="143"/>
      <c r="J183" s="143"/>
      <c r="K183" s="143"/>
      <c r="L183" s="143">
        <f>SUM(L176:L182)</f>
        <v>439</v>
      </c>
      <c r="M183" s="143">
        <f>SUM(M176:M182)</f>
        <v>1751361.83</v>
      </c>
      <c r="N183" s="143"/>
      <c r="O183" s="143"/>
      <c r="P183" s="143"/>
      <c r="Q183" s="143"/>
      <c r="R183" s="143"/>
      <c r="S183" s="143"/>
      <c r="T183" s="143"/>
      <c r="U183" s="143"/>
      <c r="V183" s="143"/>
      <c r="W183" s="143">
        <f>SUM(W176:W182)</f>
        <v>318478.03999999998</v>
      </c>
      <c r="X183" s="143"/>
      <c r="Y183" s="124"/>
      <c r="Z183" s="122"/>
      <c r="AA183" s="122"/>
      <c r="AB183" s="122"/>
      <c r="AE183" s="123"/>
    </row>
    <row r="184" spans="1:31" ht="18" customHeight="1" x14ac:dyDescent="0.25">
      <c r="A184" s="188" t="s">
        <v>141</v>
      </c>
      <c r="B184" s="188"/>
      <c r="C184" s="142">
        <f>C142+C146+C154+C162+C165+C174+C183</f>
        <v>78646825.030000001</v>
      </c>
      <c r="D184" s="142">
        <f>D142+D146+D154+D162+D165+D174+D183</f>
        <v>18203628.59</v>
      </c>
      <c r="E184" s="142">
        <f>E142+E146+E154+E162+E165+E174+E183</f>
        <v>14237516.079999998</v>
      </c>
      <c r="F184" s="142">
        <f>F142+F146+F154+F162+F165+F174+F183</f>
        <v>3966112.51</v>
      </c>
      <c r="G184" s="142"/>
      <c r="H184" s="142"/>
      <c r="I184" s="142"/>
      <c r="J184" s="38">
        <f>J142+J146+J154+J162+J165+J174+J183</f>
        <v>5</v>
      </c>
      <c r="K184" s="142">
        <f>K142+K146+K154+K162+K165+K174+K183</f>
        <v>9699899.9900000002</v>
      </c>
      <c r="L184" s="142">
        <f>L142+L146+L154+L162+L165+L174+L183</f>
        <v>7647.32</v>
      </c>
      <c r="M184" s="142">
        <f>M142+M146+M154+M162+M165+M174+M183</f>
        <v>27644026.410000004</v>
      </c>
      <c r="N184" s="142"/>
      <c r="O184" s="142"/>
      <c r="P184" s="142">
        <f>P142+P146+P154+P162+P165+P174+P183</f>
        <v>3494</v>
      </c>
      <c r="Q184" s="142">
        <f>Q142+Q146+Q154+Q162+Q165+Q174+Q183</f>
        <v>9220433.8599999994</v>
      </c>
      <c r="R184" s="142"/>
      <c r="S184" s="142"/>
      <c r="T184" s="142">
        <f>T142+T146+T154+T162+T165+T174+T183</f>
        <v>1733</v>
      </c>
      <c r="U184" s="142">
        <f>U142+U146+U154+U162+U165+U174+U183</f>
        <v>8700879.129999999</v>
      </c>
      <c r="V184" s="142"/>
      <c r="W184" s="142">
        <f>W142+W146+W154+W162+W165+W174+W183</f>
        <v>5177957.05</v>
      </c>
      <c r="X184" s="142">
        <f>X142+X146+X154+X162+X165+X174+X183</f>
        <v>0</v>
      </c>
      <c r="Y184" s="124"/>
      <c r="Z184" s="122"/>
      <c r="AA184" s="122"/>
      <c r="AB184" s="122"/>
    </row>
    <row r="185" spans="1:31" ht="12.75" customHeight="1" x14ac:dyDescent="0.25">
      <c r="A185" s="204" t="s">
        <v>41</v>
      </c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124"/>
      <c r="Z185" s="122"/>
      <c r="AB185" s="122"/>
    </row>
    <row r="186" spans="1:31" ht="15" customHeight="1" x14ac:dyDescent="0.25">
      <c r="A186" s="188" t="s">
        <v>42</v>
      </c>
      <c r="B186" s="188"/>
      <c r="C186" s="188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24"/>
      <c r="Z186" s="122"/>
      <c r="AB186" s="122"/>
    </row>
    <row r="187" spans="1:31" ht="15" customHeight="1" x14ac:dyDescent="0.25">
      <c r="A187" s="147">
        <f>A182+1</f>
        <v>115</v>
      </c>
      <c r="B187" s="140" t="s">
        <v>555</v>
      </c>
      <c r="C187" s="145">
        <f>D187+K187+M187+O187+Q187+S187+U187+V187+W187+X187</f>
        <v>988541.32000000007</v>
      </c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3">
        <f>659450.42+329090.9</f>
        <v>988541.32000000007</v>
      </c>
      <c r="X187" s="142"/>
      <c r="Y187" s="129"/>
      <c r="Z187" s="122"/>
      <c r="AB187" s="122"/>
    </row>
    <row r="188" spans="1:31" ht="15" customHeight="1" x14ac:dyDescent="0.25">
      <c r="A188" s="144">
        <f>A187+1</f>
        <v>116</v>
      </c>
      <c r="B188" s="5" t="s">
        <v>327</v>
      </c>
      <c r="C188" s="145">
        <f>D188+K188+M188+O188+Q188+S188+U188+V188+W188+X188</f>
        <v>6954828.2999999998</v>
      </c>
      <c r="D188" s="143"/>
      <c r="E188" s="143"/>
      <c r="F188" s="143"/>
      <c r="G188" s="143"/>
      <c r="H188" s="143"/>
      <c r="I188" s="143"/>
      <c r="J188" s="144">
        <v>3</v>
      </c>
      <c r="K188" s="143">
        <v>6954828.2999999998</v>
      </c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5"/>
      <c r="W188" s="145"/>
      <c r="X188" s="145"/>
      <c r="Y188" s="124"/>
      <c r="Z188" s="122"/>
      <c r="AB188" s="122"/>
    </row>
    <row r="189" spans="1:31" ht="15" customHeight="1" x14ac:dyDescent="0.25">
      <c r="A189" s="144">
        <f>A188+1</f>
        <v>117</v>
      </c>
      <c r="B189" s="5" t="s">
        <v>328</v>
      </c>
      <c r="C189" s="145">
        <f>D189+K189+M189+O189+Q189+S189+U189+V189+W189+X189</f>
        <v>4687884.07</v>
      </c>
      <c r="D189" s="143"/>
      <c r="E189" s="143"/>
      <c r="F189" s="143"/>
      <c r="G189" s="143"/>
      <c r="H189" s="143"/>
      <c r="I189" s="143"/>
      <c r="J189" s="144">
        <v>2</v>
      </c>
      <c r="K189" s="143">
        <v>4687884.07</v>
      </c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5"/>
      <c r="W189" s="145"/>
      <c r="X189" s="145"/>
      <c r="Y189" s="124"/>
      <c r="Z189" s="122"/>
      <c r="AB189" s="122"/>
    </row>
    <row r="190" spans="1:31" ht="15" customHeight="1" x14ac:dyDescent="0.25">
      <c r="A190" s="144">
        <f>A189+1</f>
        <v>118</v>
      </c>
      <c r="B190" s="5" t="s">
        <v>326</v>
      </c>
      <c r="C190" s="145">
        <f>D190+K190+M190+O190+Q190+S190+U190+V190+W190+X190</f>
        <v>2819489.33</v>
      </c>
      <c r="D190" s="143"/>
      <c r="E190" s="143"/>
      <c r="F190" s="143"/>
      <c r="G190" s="143"/>
      <c r="H190" s="143"/>
      <c r="I190" s="143"/>
      <c r="J190" s="144">
        <v>1</v>
      </c>
      <c r="K190" s="143">
        <v>2819489.33</v>
      </c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5"/>
      <c r="W190" s="145"/>
      <c r="X190" s="145"/>
      <c r="Y190" s="124"/>
      <c r="Z190" s="122"/>
      <c r="AB190" s="122"/>
    </row>
    <row r="191" spans="1:31" ht="15" customHeight="1" x14ac:dyDescent="0.25">
      <c r="A191" s="203" t="s">
        <v>18</v>
      </c>
      <c r="B191" s="203"/>
      <c r="C191" s="145">
        <f>SUM(C187:C190)</f>
        <v>15450743.020000001</v>
      </c>
      <c r="D191" s="145"/>
      <c r="E191" s="145"/>
      <c r="F191" s="145"/>
      <c r="G191" s="145"/>
      <c r="H191" s="145"/>
      <c r="I191" s="145"/>
      <c r="J191" s="147">
        <f>SUM(J187:J190)</f>
        <v>6</v>
      </c>
      <c r="K191" s="145">
        <f>SUM(K187:K190)</f>
        <v>14462201.700000001</v>
      </c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>
        <f>SUM(W187:W190)</f>
        <v>988541.32000000007</v>
      </c>
      <c r="X191" s="145"/>
      <c r="Y191" s="124"/>
      <c r="Z191" s="122"/>
      <c r="AA191" s="122"/>
      <c r="AB191" s="122"/>
      <c r="AE191" s="123"/>
    </row>
    <row r="192" spans="1:31" ht="15" customHeight="1" x14ac:dyDescent="0.25">
      <c r="A192" s="188" t="s">
        <v>43</v>
      </c>
      <c r="B192" s="188"/>
      <c r="C192" s="188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24"/>
      <c r="Z192" s="122"/>
      <c r="AB192" s="122"/>
    </row>
    <row r="193" spans="1:31" ht="15" customHeight="1" x14ac:dyDescent="0.25">
      <c r="A193" s="144">
        <f>A190+1</f>
        <v>119</v>
      </c>
      <c r="B193" s="5" t="s">
        <v>329</v>
      </c>
      <c r="C193" s="145">
        <f t="shared" ref="C193:C202" si="14">D193+K193+M193+O193+Q193+S193+U193+V193+W193+X193</f>
        <v>1202960.23</v>
      </c>
      <c r="D193" s="145"/>
      <c r="E193" s="143"/>
      <c r="F193" s="143"/>
      <c r="G193" s="143"/>
      <c r="H193" s="143"/>
      <c r="I193" s="143"/>
      <c r="J193" s="143"/>
      <c r="K193" s="143"/>
      <c r="L193" s="145">
        <v>243</v>
      </c>
      <c r="M193" s="145">
        <v>1053710.3700000001</v>
      </c>
      <c r="N193" s="145"/>
      <c r="O193" s="143"/>
      <c r="P193" s="145"/>
      <c r="Q193" s="143"/>
      <c r="R193" s="143"/>
      <c r="S193" s="143"/>
      <c r="T193" s="143"/>
      <c r="U193" s="143"/>
      <c r="V193" s="145"/>
      <c r="W193" s="145">
        <v>149249.85999999999</v>
      </c>
      <c r="X193" s="145"/>
      <c r="Y193" s="124"/>
      <c r="Z193" s="122"/>
      <c r="AB193" s="122"/>
    </row>
    <row r="194" spans="1:31" ht="15" customHeight="1" x14ac:dyDescent="0.25">
      <c r="A194" s="144">
        <f t="shared" ref="A194:A202" si="15">A193+1</f>
        <v>120</v>
      </c>
      <c r="B194" s="5" t="s">
        <v>330</v>
      </c>
      <c r="C194" s="145">
        <f t="shared" si="14"/>
        <v>1162286.23</v>
      </c>
      <c r="D194" s="145"/>
      <c r="E194" s="143"/>
      <c r="F194" s="143"/>
      <c r="G194" s="143"/>
      <c r="H194" s="143"/>
      <c r="I194" s="143"/>
      <c r="J194" s="143"/>
      <c r="K194" s="143"/>
      <c r="L194" s="145"/>
      <c r="M194" s="143"/>
      <c r="N194" s="145"/>
      <c r="O194" s="143"/>
      <c r="P194" s="145"/>
      <c r="Q194" s="143"/>
      <c r="R194" s="143"/>
      <c r="S194" s="143"/>
      <c r="T194" s="143"/>
      <c r="U194" s="143"/>
      <c r="V194" s="145"/>
      <c r="W194" s="143">
        <v>1162286.23</v>
      </c>
      <c r="X194" s="143"/>
      <c r="Y194" s="124"/>
      <c r="Z194" s="122"/>
      <c r="AB194" s="122"/>
    </row>
    <row r="195" spans="1:31" ht="15" customHeight="1" x14ac:dyDescent="0.25">
      <c r="A195" s="144">
        <f t="shared" si="15"/>
        <v>121</v>
      </c>
      <c r="B195" s="5" t="s">
        <v>331</v>
      </c>
      <c r="C195" s="145">
        <f t="shared" si="14"/>
        <v>152084.82999999999</v>
      </c>
      <c r="D195" s="145"/>
      <c r="E195" s="143"/>
      <c r="F195" s="143"/>
      <c r="G195" s="143"/>
      <c r="H195" s="143"/>
      <c r="I195" s="143"/>
      <c r="J195" s="143"/>
      <c r="K195" s="143"/>
      <c r="L195" s="145"/>
      <c r="M195" s="143"/>
      <c r="N195" s="145"/>
      <c r="O195" s="143"/>
      <c r="P195" s="145"/>
      <c r="Q195" s="143"/>
      <c r="R195" s="143"/>
      <c r="S195" s="143"/>
      <c r="T195" s="143"/>
      <c r="U195" s="143"/>
      <c r="V195" s="145"/>
      <c r="W195" s="145">
        <v>152084.82999999999</v>
      </c>
      <c r="X195" s="145"/>
      <c r="Y195" s="124"/>
      <c r="Z195" s="122"/>
      <c r="AB195" s="122"/>
    </row>
    <row r="196" spans="1:31" ht="15" customHeight="1" x14ac:dyDescent="0.25">
      <c r="A196" s="144">
        <f t="shared" si="15"/>
        <v>122</v>
      </c>
      <c r="B196" s="5" t="s">
        <v>332</v>
      </c>
      <c r="C196" s="145">
        <f t="shared" si="14"/>
        <v>894100.73</v>
      </c>
      <c r="D196" s="145"/>
      <c r="E196" s="143"/>
      <c r="F196" s="143"/>
      <c r="G196" s="143"/>
      <c r="H196" s="143"/>
      <c r="I196" s="143"/>
      <c r="J196" s="143"/>
      <c r="K196" s="143"/>
      <c r="L196" s="145"/>
      <c r="M196" s="143"/>
      <c r="N196" s="145"/>
      <c r="O196" s="143"/>
      <c r="P196" s="145"/>
      <c r="Q196" s="143"/>
      <c r="R196" s="143"/>
      <c r="S196" s="143"/>
      <c r="T196" s="143"/>
      <c r="U196" s="143"/>
      <c r="V196" s="145"/>
      <c r="W196" s="145">
        <v>894100.73</v>
      </c>
      <c r="X196" s="145"/>
      <c r="Y196" s="124"/>
      <c r="Z196" s="122"/>
      <c r="AB196" s="122"/>
    </row>
    <row r="197" spans="1:31" ht="15" customHeight="1" x14ac:dyDescent="0.25">
      <c r="A197" s="144">
        <f t="shared" si="15"/>
        <v>123</v>
      </c>
      <c r="B197" s="5" t="s">
        <v>333</v>
      </c>
      <c r="C197" s="145">
        <f t="shared" si="14"/>
        <v>724688</v>
      </c>
      <c r="D197" s="145"/>
      <c r="E197" s="143"/>
      <c r="F197" s="143"/>
      <c r="G197" s="143"/>
      <c r="H197" s="143"/>
      <c r="I197" s="143"/>
      <c r="J197" s="143"/>
      <c r="K197" s="143"/>
      <c r="L197" s="145"/>
      <c r="M197" s="143"/>
      <c r="N197" s="145"/>
      <c r="O197" s="143"/>
      <c r="P197" s="145"/>
      <c r="Q197" s="143"/>
      <c r="R197" s="143"/>
      <c r="S197" s="145"/>
      <c r="T197" s="143"/>
      <c r="U197" s="143"/>
      <c r="V197" s="145"/>
      <c r="W197" s="145">
        <f>191748.2+532939.8</f>
        <v>724688</v>
      </c>
      <c r="X197" s="145"/>
      <c r="Y197" s="124"/>
      <c r="Z197" s="122"/>
      <c r="AB197" s="122"/>
    </row>
    <row r="198" spans="1:31" ht="15" customHeight="1" x14ac:dyDescent="0.25">
      <c r="A198" s="144">
        <f t="shared" si="15"/>
        <v>124</v>
      </c>
      <c r="B198" s="5" t="s">
        <v>337</v>
      </c>
      <c r="C198" s="145">
        <f t="shared" si="14"/>
        <v>1571872.6</v>
      </c>
      <c r="D198" s="145"/>
      <c r="E198" s="143"/>
      <c r="F198" s="143"/>
      <c r="G198" s="143"/>
      <c r="H198" s="143"/>
      <c r="I198" s="143"/>
      <c r="J198" s="143"/>
      <c r="K198" s="143"/>
      <c r="L198" s="145"/>
      <c r="M198" s="143"/>
      <c r="N198" s="143"/>
      <c r="O198" s="143"/>
      <c r="P198" s="143"/>
      <c r="Q198" s="143"/>
      <c r="R198" s="143"/>
      <c r="S198" s="143"/>
      <c r="T198" s="143"/>
      <c r="U198" s="143"/>
      <c r="V198" s="145"/>
      <c r="W198" s="145">
        <f>1256439.35+315433.25</f>
        <v>1571872.6</v>
      </c>
      <c r="X198" s="145"/>
      <c r="Y198" s="124"/>
      <c r="Z198" s="122"/>
      <c r="AB198" s="122"/>
    </row>
    <row r="199" spans="1:31" ht="15" customHeight="1" x14ac:dyDescent="0.25">
      <c r="A199" s="144">
        <f t="shared" si="15"/>
        <v>125</v>
      </c>
      <c r="B199" s="5" t="s">
        <v>334</v>
      </c>
      <c r="C199" s="145">
        <f t="shared" si="14"/>
        <v>355419.65</v>
      </c>
      <c r="D199" s="145"/>
      <c r="E199" s="143"/>
      <c r="F199" s="143"/>
      <c r="G199" s="143"/>
      <c r="H199" s="143"/>
      <c r="I199" s="143"/>
      <c r="J199" s="143"/>
      <c r="K199" s="143"/>
      <c r="L199" s="145"/>
      <c r="M199" s="143"/>
      <c r="N199" s="145"/>
      <c r="O199" s="143"/>
      <c r="P199" s="145"/>
      <c r="Q199" s="143"/>
      <c r="R199" s="143"/>
      <c r="S199" s="143"/>
      <c r="T199" s="143"/>
      <c r="U199" s="143"/>
      <c r="V199" s="145"/>
      <c r="W199" s="145">
        <v>355419.65</v>
      </c>
      <c r="X199" s="145"/>
      <c r="Y199" s="124"/>
      <c r="Z199" s="122"/>
      <c r="AB199" s="122"/>
    </row>
    <row r="200" spans="1:31" ht="15" customHeight="1" x14ac:dyDescent="0.25">
      <c r="A200" s="144">
        <f t="shared" si="15"/>
        <v>126</v>
      </c>
      <c r="B200" s="5" t="s">
        <v>335</v>
      </c>
      <c r="C200" s="145">
        <f t="shared" si="14"/>
        <v>2688027.42</v>
      </c>
      <c r="D200" s="145"/>
      <c r="E200" s="143"/>
      <c r="F200" s="143"/>
      <c r="G200" s="143"/>
      <c r="H200" s="143"/>
      <c r="I200" s="143"/>
      <c r="J200" s="143"/>
      <c r="K200" s="143"/>
      <c r="L200" s="145"/>
      <c r="M200" s="143"/>
      <c r="N200" s="145"/>
      <c r="O200" s="143"/>
      <c r="P200" s="145">
        <v>710</v>
      </c>
      <c r="Q200" s="145">
        <v>2332607.77</v>
      </c>
      <c r="R200" s="143"/>
      <c r="S200" s="143"/>
      <c r="T200" s="143"/>
      <c r="U200" s="143"/>
      <c r="V200" s="145"/>
      <c r="W200" s="145">
        <v>355419.65</v>
      </c>
      <c r="X200" s="145"/>
      <c r="Y200" s="124"/>
      <c r="Z200" s="122"/>
      <c r="AA200" s="122"/>
      <c r="AB200" s="122"/>
    </row>
    <row r="201" spans="1:31" ht="15" customHeight="1" x14ac:dyDescent="0.25">
      <c r="A201" s="144">
        <f t="shared" si="15"/>
        <v>127</v>
      </c>
      <c r="B201" s="148" t="s">
        <v>590</v>
      </c>
      <c r="C201" s="145">
        <f t="shared" si="14"/>
        <v>1639021.25</v>
      </c>
      <c r="D201" s="142"/>
      <c r="E201" s="142"/>
      <c r="F201" s="142"/>
      <c r="G201" s="142"/>
      <c r="H201" s="142"/>
      <c r="I201" s="142"/>
      <c r="J201" s="142"/>
      <c r="K201" s="142"/>
      <c r="L201" s="143">
        <v>582</v>
      </c>
      <c r="M201" s="143">
        <v>1639021.25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24"/>
      <c r="Z201" s="122"/>
      <c r="AB201" s="122"/>
    </row>
    <row r="202" spans="1:31" ht="15" customHeight="1" x14ac:dyDescent="0.25">
      <c r="A202" s="144">
        <f t="shared" si="15"/>
        <v>128</v>
      </c>
      <c r="B202" s="5" t="s">
        <v>336</v>
      </c>
      <c r="C202" s="145">
        <f t="shared" si="14"/>
        <v>152752.38</v>
      </c>
      <c r="D202" s="145"/>
      <c r="E202" s="143"/>
      <c r="F202" s="143"/>
      <c r="G202" s="143"/>
      <c r="H202" s="143"/>
      <c r="I202" s="143"/>
      <c r="J202" s="143"/>
      <c r="K202" s="143"/>
      <c r="L202" s="145"/>
      <c r="M202" s="143"/>
      <c r="N202" s="143"/>
      <c r="O202" s="143"/>
      <c r="P202" s="143"/>
      <c r="Q202" s="143"/>
      <c r="R202" s="143"/>
      <c r="S202" s="143"/>
      <c r="T202" s="143"/>
      <c r="U202" s="143"/>
      <c r="V202" s="145"/>
      <c r="W202" s="145">
        <v>152752.38</v>
      </c>
      <c r="X202" s="145"/>
      <c r="Y202" s="124"/>
      <c r="Z202" s="122"/>
      <c r="AB202" s="122"/>
    </row>
    <row r="203" spans="1:31" ht="15" customHeight="1" x14ac:dyDescent="0.25">
      <c r="A203" s="203" t="s">
        <v>18</v>
      </c>
      <c r="B203" s="203"/>
      <c r="C203" s="145">
        <f>SUM(C193:C202)</f>
        <v>10543213.320000002</v>
      </c>
      <c r="D203" s="145"/>
      <c r="E203" s="145"/>
      <c r="F203" s="145"/>
      <c r="G203" s="145"/>
      <c r="H203" s="145"/>
      <c r="I203" s="145"/>
      <c r="J203" s="145"/>
      <c r="K203" s="145"/>
      <c r="L203" s="145">
        <f>SUM(L193:L202)</f>
        <v>825</v>
      </c>
      <c r="M203" s="145">
        <f>SUM(M193:M202)</f>
        <v>2692731.62</v>
      </c>
      <c r="N203" s="145"/>
      <c r="O203" s="145"/>
      <c r="P203" s="145">
        <f>SUM(P193:P202)</f>
        <v>710</v>
      </c>
      <c r="Q203" s="145">
        <f>SUM(Q193:Q202)</f>
        <v>2332607.77</v>
      </c>
      <c r="R203" s="145"/>
      <c r="S203" s="145"/>
      <c r="T203" s="145"/>
      <c r="U203" s="145"/>
      <c r="V203" s="145"/>
      <c r="W203" s="145">
        <f>SUM(W193:W202)</f>
        <v>5517873.9300000006</v>
      </c>
      <c r="X203" s="145">
        <f>SUM(X193:X202)</f>
        <v>0</v>
      </c>
      <c r="Y203" s="124"/>
      <c r="Z203" s="122"/>
      <c r="AA203" s="122"/>
      <c r="AB203" s="122"/>
      <c r="AE203" s="123"/>
    </row>
    <row r="204" spans="1:31" ht="15" customHeight="1" x14ac:dyDescent="0.25">
      <c r="A204" s="188" t="s">
        <v>44</v>
      </c>
      <c r="B204" s="188"/>
      <c r="C204" s="188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24"/>
      <c r="Z204" s="122"/>
      <c r="AB204" s="122"/>
    </row>
    <row r="205" spans="1:31" ht="15" customHeight="1" x14ac:dyDescent="0.25">
      <c r="A205" s="144">
        <f>A202+1</f>
        <v>129</v>
      </c>
      <c r="B205" s="5" t="s">
        <v>45</v>
      </c>
      <c r="C205" s="145">
        <f>D205+K205+M205+O205+Q205+S205+U205+V205+W205+X205</f>
        <v>1845999.78</v>
      </c>
      <c r="D205" s="143"/>
      <c r="E205" s="143"/>
      <c r="F205" s="143"/>
      <c r="G205" s="143"/>
      <c r="H205" s="143"/>
      <c r="I205" s="143"/>
      <c r="J205" s="143"/>
      <c r="K205" s="143"/>
      <c r="L205" s="145"/>
      <c r="M205" s="143"/>
      <c r="N205" s="143"/>
      <c r="O205" s="143"/>
      <c r="P205" s="143">
        <v>500</v>
      </c>
      <c r="Q205" s="145">
        <v>1690263.83</v>
      </c>
      <c r="R205" s="143"/>
      <c r="S205" s="143"/>
      <c r="T205" s="143"/>
      <c r="U205" s="143"/>
      <c r="V205" s="145"/>
      <c r="W205" s="145">
        <v>155735.95000000001</v>
      </c>
      <c r="X205" s="145"/>
      <c r="Y205" s="124"/>
      <c r="Z205" s="122"/>
      <c r="AA205" s="122"/>
      <c r="AB205" s="122"/>
    </row>
    <row r="206" spans="1:31" ht="15" customHeight="1" x14ac:dyDescent="0.25">
      <c r="A206" s="144">
        <f>A205+1</f>
        <v>130</v>
      </c>
      <c r="B206" s="5" t="s">
        <v>46</v>
      </c>
      <c r="C206" s="145">
        <f>D206+K206+M206+O206+Q206+S206+U206+V206+W206+X206</f>
        <v>360001.31</v>
      </c>
      <c r="D206" s="143"/>
      <c r="E206" s="143"/>
      <c r="F206" s="143"/>
      <c r="G206" s="143"/>
      <c r="H206" s="143"/>
      <c r="I206" s="143"/>
      <c r="J206" s="143"/>
      <c r="K206" s="143"/>
      <c r="L206" s="145"/>
      <c r="M206" s="143"/>
      <c r="N206" s="143"/>
      <c r="O206" s="143"/>
      <c r="P206" s="143"/>
      <c r="Q206" s="145"/>
      <c r="R206" s="143"/>
      <c r="S206" s="143"/>
      <c r="T206" s="143"/>
      <c r="U206" s="143"/>
      <c r="V206" s="145"/>
      <c r="W206" s="145">
        <v>360001.31</v>
      </c>
      <c r="X206" s="145"/>
      <c r="Y206" s="124"/>
      <c r="Z206" s="122"/>
      <c r="AA206" s="122"/>
      <c r="AB206" s="122"/>
    </row>
    <row r="207" spans="1:31" ht="15" customHeight="1" x14ac:dyDescent="0.25">
      <c r="A207" s="203" t="s">
        <v>18</v>
      </c>
      <c r="B207" s="203"/>
      <c r="C207" s="145">
        <f>SUM(C205:C206)</f>
        <v>2206001.09</v>
      </c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>
        <f>SUM(P205:P206)</f>
        <v>500</v>
      </c>
      <c r="Q207" s="145">
        <f>SUM(Q205:Q206)</f>
        <v>1690263.83</v>
      </c>
      <c r="R207" s="145"/>
      <c r="S207" s="145"/>
      <c r="T207" s="145"/>
      <c r="U207" s="145"/>
      <c r="V207" s="145"/>
      <c r="W207" s="145">
        <f>SUM(W205:W206)</f>
        <v>515737.26</v>
      </c>
      <c r="X207" s="145">
        <f>SUM(X205:X206)</f>
        <v>0</v>
      </c>
      <c r="Y207" s="124"/>
      <c r="Z207" s="122"/>
      <c r="AA207" s="122"/>
      <c r="AB207" s="122"/>
      <c r="AE207" s="123"/>
    </row>
    <row r="208" spans="1:31" ht="15" customHeight="1" x14ac:dyDescent="0.25">
      <c r="A208" s="169" t="s">
        <v>556</v>
      </c>
      <c r="B208" s="169"/>
      <c r="C208" s="169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24"/>
      <c r="Z208" s="122"/>
      <c r="AA208" s="122"/>
      <c r="AB208" s="122"/>
    </row>
    <row r="209" spans="1:31" ht="15" customHeight="1" x14ac:dyDescent="0.25">
      <c r="A209" s="144">
        <f>A206+1</f>
        <v>131</v>
      </c>
      <c r="B209" s="39" t="s">
        <v>558</v>
      </c>
      <c r="C209" s="145">
        <f>D209+K209+M209+O209+Q209+S209+U209+V209+W209+X209</f>
        <v>4643097.3499999996</v>
      </c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>
        <v>760</v>
      </c>
      <c r="O209" s="145">
        <v>4643097.3499999996</v>
      </c>
      <c r="P209" s="145"/>
      <c r="Q209" s="145"/>
      <c r="R209" s="145"/>
      <c r="S209" s="145"/>
      <c r="T209" s="145"/>
      <c r="U209" s="145"/>
      <c r="V209" s="145"/>
      <c r="W209" s="145"/>
      <c r="X209" s="145"/>
      <c r="Y209" s="130"/>
      <c r="Z209" s="122"/>
      <c r="AA209" s="122"/>
      <c r="AB209" s="122"/>
    </row>
    <row r="210" spans="1:31" ht="15" customHeight="1" x14ac:dyDescent="0.25">
      <c r="A210" s="203" t="s">
        <v>18</v>
      </c>
      <c r="B210" s="203"/>
      <c r="C210" s="145">
        <f>SUM(C209:C209)</f>
        <v>4643097.3499999996</v>
      </c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>
        <f>SUM(N209:N209)</f>
        <v>760</v>
      </c>
      <c r="O210" s="145">
        <f>SUM(O209:O209)</f>
        <v>4643097.3499999996</v>
      </c>
      <c r="P210" s="145"/>
      <c r="Q210" s="145"/>
      <c r="R210" s="145"/>
      <c r="S210" s="145"/>
      <c r="T210" s="145"/>
      <c r="U210" s="145"/>
      <c r="V210" s="145"/>
      <c r="W210" s="145"/>
      <c r="X210" s="145"/>
      <c r="Y210" s="124"/>
      <c r="Z210" s="122"/>
      <c r="AA210" s="122"/>
      <c r="AB210" s="122"/>
      <c r="AE210" s="123"/>
    </row>
    <row r="211" spans="1:31" ht="15" customHeight="1" x14ac:dyDescent="0.25">
      <c r="A211" s="188" t="s">
        <v>47</v>
      </c>
      <c r="B211" s="188"/>
      <c r="C211" s="188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24"/>
      <c r="Z211" s="122"/>
      <c r="AB211" s="122"/>
    </row>
    <row r="212" spans="1:31" ht="15" customHeight="1" x14ac:dyDescent="0.25">
      <c r="A212" s="144">
        <f>A209+1</f>
        <v>132</v>
      </c>
      <c r="B212" s="5" t="s">
        <v>338</v>
      </c>
      <c r="C212" s="145">
        <f>D212+K212+M212+O212+Q212+S212+U212+V212+W212+X212</f>
        <v>2795378.76</v>
      </c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>
        <f>449211.19+1708892.65+637274.92</f>
        <v>2795378.76</v>
      </c>
      <c r="X212" s="145"/>
      <c r="Y212" s="124"/>
      <c r="Z212" s="122"/>
      <c r="AB212" s="122"/>
    </row>
    <row r="213" spans="1:31" ht="15" customHeight="1" x14ac:dyDescent="0.25">
      <c r="A213" s="144">
        <f>A212+1</f>
        <v>133</v>
      </c>
      <c r="B213" s="5" t="s">
        <v>339</v>
      </c>
      <c r="C213" s="145">
        <f>D213+K213+M213+O213+Q213+S213+U213+V213+W213+X213</f>
        <v>4843464.26</v>
      </c>
      <c r="D213" s="145"/>
      <c r="E213" s="145"/>
      <c r="F213" s="145"/>
      <c r="G213" s="145"/>
      <c r="H213" s="145"/>
      <c r="I213" s="145"/>
      <c r="J213" s="145"/>
      <c r="K213" s="145"/>
      <c r="L213" s="145">
        <v>1047</v>
      </c>
      <c r="M213" s="145">
        <v>3119136.76</v>
      </c>
      <c r="N213" s="145"/>
      <c r="O213" s="145"/>
      <c r="P213" s="145"/>
      <c r="Q213" s="145"/>
      <c r="R213" s="145"/>
      <c r="S213" s="145"/>
      <c r="T213" s="145"/>
      <c r="U213" s="145"/>
      <c r="V213" s="145"/>
      <c r="W213" s="145">
        <f>352886.29+894287.74+477153.47</f>
        <v>1724327.5</v>
      </c>
      <c r="X213" s="145"/>
      <c r="Y213" s="124"/>
      <c r="Z213" s="122"/>
      <c r="AB213" s="122"/>
    </row>
    <row r="214" spans="1:31" ht="15" customHeight="1" x14ac:dyDescent="0.25">
      <c r="A214" s="144">
        <f>A213+1</f>
        <v>134</v>
      </c>
      <c r="B214" s="5" t="s">
        <v>340</v>
      </c>
      <c r="C214" s="145">
        <f>D214+K214+M214+O214+Q214+S214+U214+V214+W214+X214</f>
        <v>4703773.5999999996</v>
      </c>
      <c r="D214" s="145"/>
      <c r="E214" s="145"/>
      <c r="F214" s="145"/>
      <c r="G214" s="145"/>
      <c r="H214" s="145"/>
      <c r="I214" s="145"/>
      <c r="J214" s="145"/>
      <c r="K214" s="145"/>
      <c r="L214" s="145">
        <v>1047</v>
      </c>
      <c r="M214" s="145">
        <v>2933065.78</v>
      </c>
      <c r="N214" s="145"/>
      <c r="O214" s="145"/>
      <c r="P214" s="145"/>
      <c r="Q214" s="145"/>
      <c r="R214" s="145"/>
      <c r="S214" s="145"/>
      <c r="T214" s="145"/>
      <c r="U214" s="145"/>
      <c r="V214" s="145"/>
      <c r="W214" s="145">
        <f>364842.12+914944.86+490920.84</f>
        <v>1770707.82</v>
      </c>
      <c r="X214" s="145"/>
      <c r="Y214" s="124"/>
      <c r="Z214" s="122"/>
      <c r="AB214" s="122"/>
    </row>
    <row r="215" spans="1:31" ht="15" customHeight="1" x14ac:dyDescent="0.25">
      <c r="A215" s="144">
        <f>A214+1</f>
        <v>135</v>
      </c>
      <c r="B215" s="5" t="s">
        <v>341</v>
      </c>
      <c r="C215" s="145">
        <f>D215+K215+M215+O215+Q215+S215+U215+V215+W215+X215</f>
        <v>4713296.4800000004</v>
      </c>
      <c r="D215" s="145"/>
      <c r="E215" s="145"/>
      <c r="F215" s="145"/>
      <c r="G215" s="145"/>
      <c r="H215" s="145"/>
      <c r="I215" s="145"/>
      <c r="J215" s="147"/>
      <c r="K215" s="145"/>
      <c r="L215" s="145">
        <v>1047</v>
      </c>
      <c r="M215" s="145">
        <v>2942588.66</v>
      </c>
      <c r="N215" s="145"/>
      <c r="O215" s="145"/>
      <c r="P215" s="145"/>
      <c r="Q215" s="145"/>
      <c r="R215" s="145"/>
      <c r="S215" s="145"/>
      <c r="T215" s="145"/>
      <c r="U215" s="145"/>
      <c r="V215" s="145"/>
      <c r="W215" s="145">
        <f>490920.84+914944.86+364842.12</f>
        <v>1770707.8199999998</v>
      </c>
      <c r="X215" s="145"/>
      <c r="Y215" s="124"/>
      <c r="Z215" s="122"/>
      <c r="AB215" s="122"/>
    </row>
    <row r="216" spans="1:31" ht="15" customHeight="1" x14ac:dyDescent="0.25">
      <c r="A216" s="203" t="s">
        <v>18</v>
      </c>
      <c r="B216" s="203"/>
      <c r="C216" s="145">
        <f>SUM(C212:C215)</f>
        <v>17055913.100000001</v>
      </c>
      <c r="D216" s="145"/>
      <c r="E216" s="145"/>
      <c r="F216" s="145"/>
      <c r="G216" s="145"/>
      <c r="H216" s="145"/>
      <c r="I216" s="145"/>
      <c r="J216" s="147"/>
      <c r="K216" s="145"/>
      <c r="L216" s="145">
        <f>SUM(L212:L215)</f>
        <v>3141</v>
      </c>
      <c r="M216" s="145">
        <f>SUM(M212:M215)</f>
        <v>8994791.1999999993</v>
      </c>
      <c r="N216" s="145"/>
      <c r="O216" s="145"/>
      <c r="P216" s="145"/>
      <c r="Q216" s="145"/>
      <c r="R216" s="145"/>
      <c r="S216" s="145"/>
      <c r="T216" s="145"/>
      <c r="U216" s="145"/>
      <c r="V216" s="145"/>
      <c r="W216" s="145">
        <f>SUM(W212:W215)</f>
        <v>8061121.9000000004</v>
      </c>
      <c r="X216" s="145">
        <f>SUM(X212:X215)</f>
        <v>0</v>
      </c>
      <c r="Y216" s="124"/>
      <c r="Z216" s="122"/>
      <c r="AA216" s="122"/>
      <c r="AB216" s="122"/>
      <c r="AE216" s="123"/>
    </row>
    <row r="217" spans="1:31" ht="15" customHeight="1" x14ac:dyDescent="0.25">
      <c r="A217" s="188" t="s">
        <v>48</v>
      </c>
      <c r="B217" s="188"/>
      <c r="C217" s="188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24"/>
      <c r="Z217" s="122"/>
      <c r="AA217" s="121"/>
      <c r="AB217" s="122"/>
      <c r="AC217" s="131"/>
    </row>
    <row r="218" spans="1:31" ht="15" customHeight="1" x14ac:dyDescent="0.25">
      <c r="A218" s="147">
        <f>A215+1</f>
        <v>136</v>
      </c>
      <c r="B218" s="39" t="s">
        <v>557</v>
      </c>
      <c r="C218" s="145">
        <f>D218+K218+M218+O218+Q218+S218+U218+V218+W218+X218</f>
        <v>572304.97</v>
      </c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3">
        <f>156150.41+416154.56</f>
        <v>572304.97</v>
      </c>
      <c r="X218" s="142"/>
      <c r="Y218" s="124"/>
      <c r="Z218" s="122"/>
      <c r="AA218" s="121"/>
      <c r="AB218" s="122"/>
      <c r="AC218" s="131"/>
    </row>
    <row r="219" spans="1:31" ht="15" customHeight="1" x14ac:dyDescent="0.25">
      <c r="A219" s="144">
        <f>A218+1</f>
        <v>137</v>
      </c>
      <c r="B219" s="24" t="s">
        <v>342</v>
      </c>
      <c r="C219" s="145">
        <f>D219+K219+M219+O219+Q219+S219+U219+V219+W219+X219</f>
        <v>509675.38</v>
      </c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5"/>
      <c r="V219" s="145"/>
      <c r="W219" s="145">
        <f>136113.86+373561.52</f>
        <v>509675.38</v>
      </c>
      <c r="X219" s="145"/>
      <c r="Y219" s="124"/>
      <c r="Z219" s="122"/>
      <c r="AA219" s="121"/>
      <c r="AB219" s="122"/>
      <c r="AC219" s="131"/>
    </row>
    <row r="220" spans="1:31" ht="15" customHeight="1" x14ac:dyDescent="0.25">
      <c r="A220" s="144">
        <f>A219+1</f>
        <v>138</v>
      </c>
      <c r="B220" s="24" t="s">
        <v>343</v>
      </c>
      <c r="C220" s="145">
        <f>D220+K220+M220+O220+Q220+S220+U220+V220+W220+X220</f>
        <v>511145.98000000004</v>
      </c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5"/>
      <c r="V220" s="145"/>
      <c r="W220" s="145">
        <f>137728.64+373417.34</f>
        <v>511145.98000000004</v>
      </c>
      <c r="X220" s="145"/>
      <c r="Y220" s="124"/>
      <c r="Z220" s="122"/>
      <c r="AA220" s="121"/>
      <c r="AB220" s="122"/>
      <c r="AC220" s="131"/>
    </row>
    <row r="221" spans="1:31" ht="15" customHeight="1" x14ac:dyDescent="0.25">
      <c r="A221" s="144">
        <f>A220+1</f>
        <v>139</v>
      </c>
      <c r="B221" s="24" t="s">
        <v>344</v>
      </c>
      <c r="C221" s="145">
        <f>D221+K221+M221+O221+Q221+S221+U221+V221+W221+X221</f>
        <v>1996285.3599999999</v>
      </c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5"/>
      <c r="V221" s="145"/>
      <c r="W221" s="145">
        <f>1150905.5+845379.86</f>
        <v>1996285.3599999999</v>
      </c>
      <c r="X221" s="145"/>
      <c r="Y221" s="124"/>
      <c r="Z221" s="122"/>
      <c r="AA221" s="121"/>
      <c r="AB221" s="122"/>
      <c r="AC221" s="131"/>
    </row>
    <row r="222" spans="1:31" ht="15" customHeight="1" x14ac:dyDescent="0.25">
      <c r="A222" s="144">
        <f>A221+1</f>
        <v>140</v>
      </c>
      <c r="B222" s="24" t="s">
        <v>345</v>
      </c>
      <c r="C222" s="145">
        <f>D222+K222+M222+O222+Q222+S222+U222+V222+W222+X222</f>
        <v>1996285.3599999999</v>
      </c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5"/>
      <c r="V222" s="145"/>
      <c r="W222" s="145">
        <f>1150905.5+845379.86</f>
        <v>1996285.3599999999</v>
      </c>
      <c r="X222" s="145"/>
      <c r="Y222" s="124"/>
      <c r="Z222" s="122"/>
      <c r="AA222" s="121"/>
      <c r="AB222" s="122"/>
      <c r="AC222" s="131"/>
    </row>
    <row r="223" spans="1:31" ht="15" customHeight="1" x14ac:dyDescent="0.25">
      <c r="A223" s="203" t="s">
        <v>18</v>
      </c>
      <c r="B223" s="203"/>
      <c r="C223" s="143">
        <f>SUM(C218:C222)</f>
        <v>5585697.0499999998</v>
      </c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>
        <f>SUM(W218:W222)</f>
        <v>5585697.0499999998</v>
      </c>
      <c r="X223" s="143"/>
      <c r="Y223" s="124"/>
      <c r="Z223" s="122"/>
      <c r="AA223" s="124"/>
      <c r="AB223" s="122"/>
      <c r="AC223" s="131"/>
    </row>
    <row r="224" spans="1:31" ht="15" customHeight="1" x14ac:dyDescent="0.25">
      <c r="A224" s="188" t="s">
        <v>49</v>
      </c>
      <c r="B224" s="188"/>
      <c r="C224" s="142">
        <f>C191+C203+C207+C223+C216+C210</f>
        <v>55484664.930000007</v>
      </c>
      <c r="D224" s="142"/>
      <c r="E224" s="142"/>
      <c r="F224" s="142"/>
      <c r="G224" s="142"/>
      <c r="H224" s="142"/>
      <c r="I224" s="142"/>
      <c r="J224" s="38">
        <f t="shared" ref="J224:Q224" si="16">J191+J203+J207+J223+J216+J210</f>
        <v>6</v>
      </c>
      <c r="K224" s="142">
        <f t="shared" si="16"/>
        <v>14462201.700000001</v>
      </c>
      <c r="L224" s="142">
        <f t="shared" si="16"/>
        <v>3966</v>
      </c>
      <c r="M224" s="142">
        <f t="shared" si="16"/>
        <v>11687522.82</v>
      </c>
      <c r="N224" s="142">
        <f t="shared" si="16"/>
        <v>760</v>
      </c>
      <c r="O224" s="142">
        <f t="shared" si="16"/>
        <v>4643097.3499999996</v>
      </c>
      <c r="P224" s="142">
        <f t="shared" si="16"/>
        <v>1210</v>
      </c>
      <c r="Q224" s="142">
        <f t="shared" si="16"/>
        <v>4022871.6</v>
      </c>
      <c r="R224" s="142"/>
      <c r="S224" s="142"/>
      <c r="T224" s="142"/>
      <c r="U224" s="142"/>
      <c r="V224" s="142"/>
      <c r="W224" s="142">
        <f>W191+W203+W207+W223+W216+W210</f>
        <v>20668971.460000001</v>
      </c>
      <c r="X224" s="142">
        <f>X191+X203+X207+X223+X216+X210</f>
        <v>0</v>
      </c>
      <c r="Y224" s="124"/>
      <c r="Z224" s="122"/>
      <c r="AA224" s="132"/>
      <c r="AB224" s="122"/>
      <c r="AC224" s="131"/>
    </row>
    <row r="225" spans="1:29" ht="15" customHeight="1" x14ac:dyDescent="0.25">
      <c r="A225" s="204" t="s">
        <v>142</v>
      </c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124"/>
      <c r="Z225" s="122"/>
      <c r="AA225" s="121"/>
      <c r="AB225" s="122"/>
      <c r="AC225" s="131"/>
    </row>
    <row r="226" spans="1:29" ht="17.25" customHeight="1" x14ac:dyDescent="0.25">
      <c r="A226" s="188" t="s">
        <v>143</v>
      </c>
      <c r="B226" s="188"/>
      <c r="C226" s="188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24"/>
      <c r="Z226" s="122"/>
      <c r="AA226" s="121"/>
      <c r="AB226" s="122"/>
      <c r="AC226" s="131"/>
    </row>
    <row r="227" spans="1:29" ht="17.25" customHeight="1" x14ac:dyDescent="0.25">
      <c r="A227" s="147">
        <f>A222+1</f>
        <v>141</v>
      </c>
      <c r="B227" s="140" t="s">
        <v>559</v>
      </c>
      <c r="C227" s="145">
        <f t="shared" ref="C227:C255" si="17">D227+K227+M227+O227+Q227+S227+U227+V227+W227+X227</f>
        <v>9277017.8599999994</v>
      </c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3">
        <v>2440</v>
      </c>
      <c r="Q227" s="143">
        <v>9277017.8599999994</v>
      </c>
      <c r="R227" s="142"/>
      <c r="S227" s="142"/>
      <c r="T227" s="142"/>
      <c r="U227" s="142"/>
      <c r="V227" s="142"/>
      <c r="W227" s="142"/>
      <c r="X227" s="142"/>
      <c r="Y227" s="124"/>
      <c r="Z227" s="122"/>
      <c r="AA227" s="121"/>
      <c r="AB227" s="122"/>
      <c r="AC227" s="131"/>
    </row>
    <row r="228" spans="1:29" ht="17.25" customHeight="1" x14ac:dyDescent="0.25">
      <c r="A228" s="147">
        <f t="shared" ref="A228:A255" si="18">A227+1</f>
        <v>142</v>
      </c>
      <c r="B228" s="140" t="s">
        <v>560</v>
      </c>
      <c r="C228" s="145">
        <f t="shared" si="17"/>
        <v>11286113.539999999</v>
      </c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3">
        <v>2440</v>
      </c>
      <c r="Q228" s="143">
        <v>11286113.539999999</v>
      </c>
      <c r="R228" s="142"/>
      <c r="S228" s="142"/>
      <c r="T228" s="142"/>
      <c r="U228" s="142"/>
      <c r="V228" s="142"/>
      <c r="W228" s="142"/>
      <c r="X228" s="142"/>
      <c r="Y228" s="124"/>
      <c r="Z228" s="122"/>
      <c r="AA228" s="121"/>
      <c r="AB228" s="122"/>
      <c r="AC228" s="131"/>
    </row>
    <row r="229" spans="1:29" ht="17.25" customHeight="1" x14ac:dyDescent="0.25">
      <c r="A229" s="147">
        <f t="shared" si="18"/>
        <v>143</v>
      </c>
      <c r="B229" s="140" t="s">
        <v>561</v>
      </c>
      <c r="C229" s="145">
        <f t="shared" si="17"/>
        <v>11123878.970000001</v>
      </c>
      <c r="D229" s="145">
        <f>E229+F229+G229+H229+I229</f>
        <v>1476031.97</v>
      </c>
      <c r="E229" s="143">
        <v>1476031.97</v>
      </c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3">
        <v>2440</v>
      </c>
      <c r="Q229" s="143">
        <v>9647847</v>
      </c>
      <c r="R229" s="142"/>
      <c r="S229" s="142"/>
      <c r="T229" s="142"/>
      <c r="U229" s="142"/>
      <c r="V229" s="142"/>
      <c r="W229" s="142"/>
      <c r="X229" s="142"/>
      <c r="Y229" s="124"/>
      <c r="Z229" s="122"/>
      <c r="AA229" s="121"/>
      <c r="AB229" s="122"/>
      <c r="AC229" s="131"/>
    </row>
    <row r="230" spans="1:29" ht="17.25" customHeight="1" x14ac:dyDescent="0.25">
      <c r="A230" s="151">
        <f t="shared" si="18"/>
        <v>144</v>
      </c>
      <c r="B230" s="5" t="s">
        <v>606</v>
      </c>
      <c r="C230" s="145">
        <f>D230+K230+M230+O230+Q230+S230+U230+V230+W230+X230</f>
        <v>1528107.08</v>
      </c>
      <c r="D230" s="145"/>
      <c r="E230" s="143"/>
      <c r="F230" s="143"/>
      <c r="G230" s="143"/>
      <c r="H230" s="143"/>
      <c r="I230" s="143"/>
      <c r="J230" s="143"/>
      <c r="K230" s="143"/>
      <c r="L230" s="143"/>
      <c r="M230" s="145"/>
      <c r="N230" s="143"/>
      <c r="O230" s="145"/>
      <c r="P230" s="143"/>
      <c r="Q230" s="143"/>
      <c r="R230" s="143"/>
      <c r="S230" s="143"/>
      <c r="T230" s="142"/>
      <c r="U230" s="143"/>
      <c r="V230" s="142"/>
      <c r="W230" s="143">
        <v>1528107.08</v>
      </c>
      <c r="X230" s="143"/>
      <c r="Y230" s="124" t="s">
        <v>607</v>
      </c>
      <c r="Z230" s="122">
        <f>E230+F230+G230+H230+I230+K230+M230+O230+Q230+S230+U230+V230+W230+X230</f>
        <v>1528107.08</v>
      </c>
      <c r="AA230" s="122">
        <f>Z230-C230</f>
        <v>0</v>
      </c>
      <c r="AB230" s="121"/>
      <c r="AC230" s="98"/>
    </row>
    <row r="231" spans="1:29" ht="17.25" customHeight="1" x14ac:dyDescent="0.25">
      <c r="A231" s="151">
        <f t="shared" si="18"/>
        <v>145</v>
      </c>
      <c r="B231" s="5" t="s">
        <v>268</v>
      </c>
      <c r="C231" s="145">
        <f t="shared" si="17"/>
        <v>1939959.67</v>
      </c>
      <c r="D231" s="145"/>
      <c r="E231" s="143"/>
      <c r="F231" s="143"/>
      <c r="G231" s="143"/>
      <c r="H231" s="143"/>
      <c r="I231" s="143"/>
      <c r="J231" s="143"/>
      <c r="K231" s="143"/>
      <c r="L231" s="145"/>
      <c r="M231" s="145"/>
      <c r="N231" s="145"/>
      <c r="O231" s="143"/>
      <c r="P231" s="145"/>
      <c r="Q231" s="145"/>
      <c r="R231" s="143"/>
      <c r="S231" s="143"/>
      <c r="T231" s="143"/>
      <c r="U231" s="143"/>
      <c r="V231" s="142"/>
      <c r="W231" s="145">
        <f>823376.79+1116582.88</f>
        <v>1939959.67</v>
      </c>
      <c r="X231" s="145"/>
      <c r="Y231" s="124"/>
      <c r="Z231" s="122"/>
      <c r="AA231" s="124"/>
      <c r="AB231" s="122"/>
      <c r="AC231" s="131"/>
    </row>
    <row r="232" spans="1:29" ht="17.25" customHeight="1" x14ac:dyDescent="0.25">
      <c r="A232" s="151">
        <f t="shared" si="18"/>
        <v>146</v>
      </c>
      <c r="B232" s="5" t="s">
        <v>269</v>
      </c>
      <c r="C232" s="145">
        <f t="shared" si="17"/>
        <v>1134711.1299999999</v>
      </c>
      <c r="D232" s="145"/>
      <c r="E232" s="143"/>
      <c r="F232" s="143"/>
      <c r="G232" s="143"/>
      <c r="H232" s="143"/>
      <c r="I232" s="143"/>
      <c r="J232" s="143"/>
      <c r="K232" s="143"/>
      <c r="L232" s="145"/>
      <c r="M232" s="145"/>
      <c r="N232" s="145"/>
      <c r="O232" s="143"/>
      <c r="P232" s="145"/>
      <c r="Q232" s="145"/>
      <c r="R232" s="143"/>
      <c r="S232" s="143"/>
      <c r="T232" s="143"/>
      <c r="U232" s="143"/>
      <c r="V232" s="142"/>
      <c r="W232" s="145">
        <v>1134711.1299999999</v>
      </c>
      <c r="X232" s="145"/>
      <c r="Y232" s="124"/>
      <c r="Z232" s="122"/>
      <c r="AA232" s="124"/>
      <c r="AB232" s="122"/>
      <c r="AC232" s="131"/>
    </row>
    <row r="233" spans="1:29" ht="17.25" customHeight="1" x14ac:dyDescent="0.25">
      <c r="A233" s="151">
        <f t="shared" si="18"/>
        <v>147</v>
      </c>
      <c r="B233" s="5" t="s">
        <v>270</v>
      </c>
      <c r="C233" s="145">
        <f t="shared" si="17"/>
        <v>1134711.1299999999</v>
      </c>
      <c r="D233" s="145"/>
      <c r="E233" s="143"/>
      <c r="F233" s="143"/>
      <c r="G233" s="143"/>
      <c r="H233" s="143"/>
      <c r="I233" s="143"/>
      <c r="J233" s="143"/>
      <c r="K233" s="143"/>
      <c r="L233" s="145"/>
      <c r="M233" s="145"/>
      <c r="N233" s="145"/>
      <c r="O233" s="143"/>
      <c r="P233" s="145"/>
      <c r="Q233" s="145"/>
      <c r="R233" s="143"/>
      <c r="S233" s="143"/>
      <c r="T233" s="143"/>
      <c r="U233" s="143"/>
      <c r="V233" s="142"/>
      <c r="W233" s="145">
        <v>1134711.1299999999</v>
      </c>
      <c r="X233" s="145"/>
      <c r="Y233" s="124"/>
      <c r="Z233" s="122"/>
      <c r="AA233" s="122"/>
      <c r="AB233" s="122"/>
    </row>
    <row r="234" spans="1:29" ht="17.25" customHeight="1" x14ac:dyDescent="0.25">
      <c r="A234" s="151">
        <f t="shared" si="18"/>
        <v>148</v>
      </c>
      <c r="B234" s="5" t="s">
        <v>271</v>
      </c>
      <c r="C234" s="145">
        <f t="shared" si="17"/>
        <v>1150766.73</v>
      </c>
      <c r="D234" s="145"/>
      <c r="E234" s="143"/>
      <c r="F234" s="143"/>
      <c r="G234" s="143"/>
      <c r="H234" s="143"/>
      <c r="I234" s="143"/>
      <c r="J234" s="143"/>
      <c r="K234" s="143"/>
      <c r="L234" s="145"/>
      <c r="M234" s="145"/>
      <c r="N234" s="145"/>
      <c r="O234" s="143"/>
      <c r="P234" s="145"/>
      <c r="Q234" s="145"/>
      <c r="R234" s="143"/>
      <c r="S234" s="143"/>
      <c r="T234" s="143"/>
      <c r="U234" s="143"/>
      <c r="V234" s="142"/>
      <c r="W234" s="145">
        <v>1150766.73</v>
      </c>
      <c r="X234" s="145"/>
      <c r="Y234" s="124"/>
      <c r="Z234" s="122"/>
      <c r="AA234" s="122"/>
      <c r="AB234" s="122"/>
    </row>
    <row r="235" spans="1:29" ht="17.25" customHeight="1" x14ac:dyDescent="0.25">
      <c r="A235" s="147">
        <f t="shared" si="18"/>
        <v>149</v>
      </c>
      <c r="B235" s="5" t="s">
        <v>272</v>
      </c>
      <c r="C235" s="145">
        <f t="shared" si="17"/>
        <v>1905339.29</v>
      </c>
      <c r="D235" s="145"/>
      <c r="E235" s="143"/>
      <c r="F235" s="143"/>
      <c r="G235" s="143"/>
      <c r="H235" s="143"/>
      <c r="I235" s="143"/>
      <c r="J235" s="143"/>
      <c r="K235" s="143"/>
      <c r="L235" s="143"/>
      <c r="M235" s="145"/>
      <c r="N235" s="143"/>
      <c r="O235" s="143"/>
      <c r="P235" s="143"/>
      <c r="Q235" s="143"/>
      <c r="R235" s="143"/>
      <c r="S235" s="143"/>
      <c r="T235" s="142"/>
      <c r="U235" s="142"/>
      <c r="V235" s="145"/>
      <c r="W235" s="145">
        <f>1086505.96+818833.33</f>
        <v>1905339.29</v>
      </c>
      <c r="X235" s="145"/>
      <c r="Y235" s="124"/>
      <c r="Z235" s="122"/>
      <c r="AA235" s="121"/>
      <c r="AB235" s="122"/>
    </row>
    <row r="236" spans="1:29" ht="17.25" customHeight="1" x14ac:dyDescent="0.25">
      <c r="A236" s="147">
        <f t="shared" si="18"/>
        <v>150</v>
      </c>
      <c r="B236" s="5" t="s">
        <v>144</v>
      </c>
      <c r="C236" s="145">
        <f t="shared" si="17"/>
        <v>1455871.4300000002</v>
      </c>
      <c r="D236" s="145"/>
      <c r="E236" s="143"/>
      <c r="F236" s="143"/>
      <c r="G236" s="143"/>
      <c r="H236" s="143"/>
      <c r="I236" s="143"/>
      <c r="J236" s="143"/>
      <c r="K236" s="143"/>
      <c r="L236" s="143"/>
      <c r="M236" s="145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>
        <f>720719.09+192554.03+542598.31</f>
        <v>1455871.4300000002</v>
      </c>
      <c r="X236" s="143"/>
      <c r="Y236" s="124"/>
      <c r="Z236" s="122"/>
      <c r="AA236" s="121"/>
      <c r="AB236" s="122"/>
    </row>
    <row r="237" spans="1:29" ht="17.25" customHeight="1" x14ac:dyDescent="0.25">
      <c r="A237" s="147">
        <f t="shared" si="18"/>
        <v>151</v>
      </c>
      <c r="B237" s="5" t="s">
        <v>145</v>
      </c>
      <c r="C237" s="145">
        <f t="shared" si="17"/>
        <v>271910.61</v>
      </c>
      <c r="D237" s="145"/>
      <c r="E237" s="143"/>
      <c r="F237" s="143"/>
      <c r="G237" s="143"/>
      <c r="H237" s="143"/>
      <c r="I237" s="143"/>
      <c r="J237" s="143"/>
      <c r="K237" s="143"/>
      <c r="L237" s="143"/>
      <c r="M237" s="145"/>
      <c r="N237" s="143"/>
      <c r="O237" s="143"/>
      <c r="P237" s="143"/>
      <c r="Q237" s="145"/>
      <c r="R237" s="143"/>
      <c r="S237" s="143"/>
      <c r="T237" s="143"/>
      <c r="U237" s="143"/>
      <c r="V237" s="142"/>
      <c r="W237" s="143">
        <f>118697.42+153213.19</f>
        <v>271910.61</v>
      </c>
      <c r="X237" s="143"/>
      <c r="Y237" s="124"/>
      <c r="Z237" s="122"/>
      <c r="AA237" s="122"/>
      <c r="AB237" s="122"/>
    </row>
    <row r="238" spans="1:29" ht="17.25" customHeight="1" x14ac:dyDescent="0.25">
      <c r="A238" s="147">
        <f t="shared" si="18"/>
        <v>152</v>
      </c>
      <c r="B238" s="5" t="s">
        <v>146</v>
      </c>
      <c r="C238" s="145">
        <f t="shared" si="17"/>
        <v>560940.31000000006</v>
      </c>
      <c r="D238" s="145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2"/>
      <c r="W238" s="143">
        <f>395177.26+165763.05</f>
        <v>560940.31000000006</v>
      </c>
      <c r="X238" s="143"/>
      <c r="Y238" s="124"/>
      <c r="Z238" s="122"/>
      <c r="AA238" s="121"/>
      <c r="AB238" s="122"/>
    </row>
    <row r="239" spans="1:29" ht="17.25" customHeight="1" x14ac:dyDescent="0.25">
      <c r="A239" s="147">
        <f t="shared" si="18"/>
        <v>153</v>
      </c>
      <c r="B239" s="5" t="s">
        <v>608</v>
      </c>
      <c r="C239" s="145">
        <f t="shared" ref="C239" si="19">D239+K239+M239+O239+Q239+S239+U239+V239+W239+X239</f>
        <v>2389861.9300000002</v>
      </c>
      <c r="D239" s="145"/>
      <c r="E239" s="143"/>
      <c r="F239" s="143"/>
      <c r="G239" s="143"/>
      <c r="H239" s="143"/>
      <c r="I239" s="143"/>
      <c r="J239" s="143"/>
      <c r="K239" s="143"/>
      <c r="L239" s="143"/>
      <c r="M239" s="145"/>
      <c r="N239" s="143"/>
      <c r="O239" s="143"/>
      <c r="P239" s="143"/>
      <c r="Q239" s="143"/>
      <c r="R239" s="143"/>
      <c r="S239" s="143"/>
      <c r="T239" s="143"/>
      <c r="U239" s="145"/>
      <c r="V239" s="142"/>
      <c r="W239" s="145">
        <f>1172873.83+331239.45+885748.65</f>
        <v>2389861.9300000002</v>
      </c>
      <c r="X239" s="145"/>
      <c r="Y239" s="124"/>
      <c r="Z239" s="122"/>
      <c r="AA239" s="121"/>
      <c r="AB239" s="122"/>
    </row>
    <row r="240" spans="1:29" ht="17.25" customHeight="1" x14ac:dyDescent="0.25">
      <c r="A240" s="147">
        <f t="shared" si="18"/>
        <v>154</v>
      </c>
      <c r="B240" s="5" t="s">
        <v>147</v>
      </c>
      <c r="C240" s="145">
        <f t="shared" si="17"/>
        <v>1843401.69</v>
      </c>
      <c r="D240" s="145"/>
      <c r="E240" s="143"/>
      <c r="F240" s="143"/>
      <c r="G240" s="143"/>
      <c r="H240" s="143"/>
      <c r="I240" s="143"/>
      <c r="J240" s="143"/>
      <c r="K240" s="143"/>
      <c r="L240" s="143"/>
      <c r="M240" s="145"/>
      <c r="N240" s="143"/>
      <c r="O240" s="143"/>
      <c r="P240" s="143"/>
      <c r="Q240" s="143"/>
      <c r="R240" s="143"/>
      <c r="S240" s="143"/>
      <c r="T240" s="143"/>
      <c r="U240" s="145"/>
      <c r="V240" s="142"/>
      <c r="W240" s="145">
        <f>1051607.03+791794.66</f>
        <v>1843401.69</v>
      </c>
      <c r="X240" s="145"/>
      <c r="Y240" s="124"/>
      <c r="Z240" s="122"/>
      <c r="AA240" s="121"/>
      <c r="AB240" s="122"/>
    </row>
    <row r="241" spans="1:31" ht="17.25" customHeight="1" x14ac:dyDescent="0.25">
      <c r="A241" s="147">
        <f t="shared" si="18"/>
        <v>155</v>
      </c>
      <c r="B241" s="5" t="s">
        <v>190</v>
      </c>
      <c r="C241" s="145">
        <f t="shared" si="17"/>
        <v>561566.32999999996</v>
      </c>
      <c r="D241" s="145"/>
      <c r="E241" s="143"/>
      <c r="F241" s="143"/>
      <c r="G241" s="143"/>
      <c r="H241" s="143"/>
      <c r="I241" s="143"/>
      <c r="J241" s="143"/>
      <c r="K241" s="143"/>
      <c r="L241" s="143"/>
      <c r="M241" s="145"/>
      <c r="N241" s="143"/>
      <c r="O241" s="143"/>
      <c r="P241" s="143"/>
      <c r="Q241" s="143"/>
      <c r="R241" s="143"/>
      <c r="S241" s="143"/>
      <c r="T241" s="143"/>
      <c r="U241" s="143"/>
      <c r="V241" s="142"/>
      <c r="W241" s="143">
        <f>117249.66+119784.81+324531.86</f>
        <v>561566.32999999996</v>
      </c>
      <c r="X241" s="143"/>
      <c r="Y241" s="124"/>
      <c r="Z241" s="122"/>
      <c r="AA241" s="121"/>
      <c r="AB241" s="122"/>
    </row>
    <row r="242" spans="1:31" ht="17.25" customHeight="1" x14ac:dyDescent="0.2">
      <c r="A242" s="147">
        <f t="shared" si="18"/>
        <v>156</v>
      </c>
      <c r="B242" s="47" t="s">
        <v>583</v>
      </c>
      <c r="C242" s="145">
        <f t="shared" si="17"/>
        <v>5137970.16</v>
      </c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3">
        <v>716.6</v>
      </c>
      <c r="Q242" s="143">
        <v>3149078.98</v>
      </c>
      <c r="R242" s="143"/>
      <c r="S242" s="143"/>
      <c r="T242" s="143">
        <v>584.5</v>
      </c>
      <c r="U242" s="143">
        <v>1988891.18</v>
      </c>
      <c r="V242" s="142"/>
      <c r="W242" s="142"/>
      <c r="X242" s="142"/>
      <c r="Y242" s="124"/>
      <c r="Z242" s="122"/>
      <c r="AA242" s="121"/>
      <c r="AB242" s="122"/>
      <c r="AC242" s="131"/>
    </row>
    <row r="243" spans="1:31" ht="17.25" customHeight="1" x14ac:dyDescent="0.2">
      <c r="A243" s="147">
        <f t="shared" si="18"/>
        <v>157</v>
      </c>
      <c r="B243" s="47" t="s">
        <v>584</v>
      </c>
      <c r="C243" s="145">
        <f t="shared" si="17"/>
        <v>3869296.0700000003</v>
      </c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3">
        <v>665.5</v>
      </c>
      <c r="Q243" s="143">
        <v>2858972.22</v>
      </c>
      <c r="R243" s="143"/>
      <c r="S243" s="143"/>
      <c r="T243" s="143">
        <v>257.5</v>
      </c>
      <c r="U243" s="143">
        <v>1010323.85</v>
      </c>
      <c r="V243" s="142"/>
      <c r="W243" s="142"/>
      <c r="X243" s="142"/>
      <c r="Y243" s="124"/>
      <c r="Z243" s="122"/>
      <c r="AA243" s="121"/>
      <c r="AB243" s="122"/>
      <c r="AC243" s="131"/>
    </row>
    <row r="244" spans="1:31" ht="17.25" customHeight="1" x14ac:dyDescent="0.25">
      <c r="A244" s="147">
        <f t="shared" si="18"/>
        <v>158</v>
      </c>
      <c r="B244" s="5" t="s">
        <v>273</v>
      </c>
      <c r="C244" s="145">
        <f t="shared" si="17"/>
        <v>1382302.01</v>
      </c>
      <c r="D244" s="145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5"/>
      <c r="R244" s="143"/>
      <c r="S244" s="143"/>
      <c r="T244" s="143"/>
      <c r="U244" s="143"/>
      <c r="V244" s="142"/>
      <c r="W244" s="143">
        <f>277761.53+1104540.48</f>
        <v>1382302.01</v>
      </c>
      <c r="X244" s="143"/>
      <c r="Y244" s="124"/>
      <c r="Z244" s="122"/>
      <c r="AA244" s="122"/>
      <c r="AB244" s="122"/>
    </row>
    <row r="245" spans="1:31" ht="17.25" customHeight="1" x14ac:dyDescent="0.25">
      <c r="A245" s="147">
        <f t="shared" si="18"/>
        <v>159</v>
      </c>
      <c r="B245" s="5" t="s">
        <v>274</v>
      </c>
      <c r="C245" s="145">
        <f t="shared" si="17"/>
        <v>1150766.73</v>
      </c>
      <c r="D245" s="145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5"/>
      <c r="R245" s="143"/>
      <c r="S245" s="143"/>
      <c r="T245" s="143"/>
      <c r="U245" s="143"/>
      <c r="V245" s="142"/>
      <c r="W245" s="143">
        <f>270828.99+879937.74</f>
        <v>1150766.73</v>
      </c>
      <c r="X245" s="143"/>
      <c r="Y245" s="124"/>
      <c r="Z245" s="122"/>
      <c r="AA245" s="122"/>
      <c r="AB245" s="122"/>
    </row>
    <row r="246" spans="1:31" ht="17.25" customHeight="1" x14ac:dyDescent="0.25">
      <c r="A246" s="147">
        <f t="shared" si="18"/>
        <v>160</v>
      </c>
      <c r="B246" s="5" t="s">
        <v>275</v>
      </c>
      <c r="C246" s="145">
        <f t="shared" si="17"/>
        <v>1821297.15</v>
      </c>
      <c r="D246" s="145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2"/>
      <c r="W246" s="143">
        <f>933309.15+196353.15+691634.85</f>
        <v>1821297.15</v>
      </c>
      <c r="X246" s="143"/>
      <c r="Y246" s="124"/>
      <c r="Z246" s="122"/>
      <c r="AA246" s="121"/>
      <c r="AB246" s="122"/>
    </row>
    <row r="247" spans="1:31" ht="17.25" customHeight="1" x14ac:dyDescent="0.25">
      <c r="A247" s="147">
        <f t="shared" si="18"/>
        <v>161</v>
      </c>
      <c r="B247" s="5" t="s">
        <v>276</v>
      </c>
      <c r="C247" s="145">
        <f t="shared" si="17"/>
        <v>4441772.58</v>
      </c>
      <c r="D247" s="145"/>
      <c r="E247" s="143"/>
      <c r="F247" s="143"/>
      <c r="G247" s="143"/>
      <c r="H247" s="143"/>
      <c r="I247" s="143"/>
      <c r="J247" s="143"/>
      <c r="K247" s="143"/>
      <c r="L247" s="143">
        <v>624</v>
      </c>
      <c r="M247" s="145">
        <v>2157082.29</v>
      </c>
      <c r="N247" s="143"/>
      <c r="O247" s="143"/>
      <c r="P247" s="143">
        <v>565.71</v>
      </c>
      <c r="Q247" s="145">
        <v>1951035.6</v>
      </c>
      <c r="R247" s="143"/>
      <c r="S247" s="143"/>
      <c r="T247" s="143"/>
      <c r="U247" s="143"/>
      <c r="V247" s="142"/>
      <c r="W247" s="143">
        <f>188550.53+145104.16</f>
        <v>333654.69</v>
      </c>
      <c r="X247" s="143"/>
      <c r="Y247" s="124"/>
      <c r="Z247" s="122"/>
      <c r="AA247" s="122"/>
      <c r="AB247" s="122"/>
    </row>
    <row r="248" spans="1:31" ht="17.25" customHeight="1" x14ac:dyDescent="0.25">
      <c r="A248" s="147">
        <f t="shared" si="18"/>
        <v>162</v>
      </c>
      <c r="B248" s="140" t="s">
        <v>562</v>
      </c>
      <c r="C248" s="145">
        <f t="shared" si="17"/>
        <v>755406</v>
      </c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3">
        <v>755406</v>
      </c>
      <c r="X248" s="142"/>
      <c r="Y248" s="124"/>
      <c r="Z248" s="122"/>
      <c r="AA248" s="121"/>
      <c r="AB248" s="122"/>
      <c r="AC248" s="131"/>
    </row>
    <row r="249" spans="1:31" ht="17.25" customHeight="1" x14ac:dyDescent="0.25">
      <c r="A249" s="147">
        <f t="shared" si="18"/>
        <v>163</v>
      </c>
      <c r="B249" s="5" t="s">
        <v>277</v>
      </c>
      <c r="C249" s="145">
        <f t="shared" si="17"/>
        <v>461271.4</v>
      </c>
      <c r="D249" s="145"/>
      <c r="E249" s="143"/>
      <c r="F249" s="143"/>
      <c r="G249" s="143"/>
      <c r="H249" s="143"/>
      <c r="I249" s="143"/>
      <c r="J249" s="143"/>
      <c r="K249" s="143"/>
      <c r="L249" s="143"/>
      <c r="M249" s="145"/>
      <c r="N249" s="143"/>
      <c r="O249" s="143"/>
      <c r="P249" s="143"/>
      <c r="Q249" s="145"/>
      <c r="R249" s="143"/>
      <c r="S249" s="143"/>
      <c r="T249" s="143"/>
      <c r="U249" s="143"/>
      <c r="V249" s="142"/>
      <c r="W249" s="143">
        <f>255783.82+106224.52+99263.06</f>
        <v>461271.4</v>
      </c>
      <c r="X249" s="143"/>
      <c r="Y249" s="124"/>
      <c r="Z249" s="122"/>
      <c r="AA249" s="122"/>
      <c r="AB249" s="122"/>
    </row>
    <row r="250" spans="1:31" ht="17.25" customHeight="1" x14ac:dyDescent="0.25">
      <c r="A250" s="147">
        <f t="shared" si="18"/>
        <v>164</v>
      </c>
      <c r="B250" s="140" t="s">
        <v>563</v>
      </c>
      <c r="C250" s="145">
        <f t="shared" si="17"/>
        <v>1151652.9100000001</v>
      </c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3">
        <f>178318.47+274734.44+485161+213439</f>
        <v>1151652.9100000001</v>
      </c>
      <c r="X250" s="142"/>
      <c r="Y250" s="129"/>
      <c r="Z250" s="122"/>
      <c r="AA250" s="121"/>
      <c r="AB250" s="122"/>
      <c r="AC250" s="131"/>
    </row>
    <row r="251" spans="1:31" ht="17.25" customHeight="1" x14ac:dyDescent="0.25">
      <c r="A251" s="147">
        <f t="shared" si="18"/>
        <v>165</v>
      </c>
      <c r="B251" s="5" t="s">
        <v>148</v>
      </c>
      <c r="C251" s="145">
        <f t="shared" si="17"/>
        <v>1607001.35</v>
      </c>
      <c r="D251" s="145"/>
      <c r="E251" s="143"/>
      <c r="F251" s="143"/>
      <c r="G251" s="143"/>
      <c r="H251" s="143"/>
      <c r="I251" s="143"/>
      <c r="J251" s="143"/>
      <c r="K251" s="143"/>
      <c r="L251" s="143"/>
      <c r="M251" s="145"/>
      <c r="N251" s="143"/>
      <c r="O251" s="143"/>
      <c r="P251" s="143"/>
      <c r="Q251" s="143"/>
      <c r="R251" s="143"/>
      <c r="S251" s="143"/>
      <c r="T251" s="142"/>
      <c r="U251" s="143"/>
      <c r="V251" s="142"/>
      <c r="W251" s="143">
        <f>836377.54+154559.27+616064.54</f>
        <v>1607001.35</v>
      </c>
      <c r="X251" s="143"/>
      <c r="Y251" s="124"/>
      <c r="Z251" s="122"/>
      <c r="AA251" s="121"/>
      <c r="AB251" s="122"/>
    </row>
    <row r="252" spans="1:31" ht="17.25" customHeight="1" x14ac:dyDescent="0.25">
      <c r="A252" s="147">
        <f t="shared" si="18"/>
        <v>166</v>
      </c>
      <c r="B252" s="5" t="s">
        <v>149</v>
      </c>
      <c r="C252" s="145">
        <f t="shared" si="17"/>
        <v>920896.08</v>
      </c>
      <c r="D252" s="145"/>
      <c r="E252" s="143"/>
      <c r="F252" s="143"/>
      <c r="G252" s="143"/>
      <c r="H252" s="143"/>
      <c r="I252" s="143"/>
      <c r="J252" s="143"/>
      <c r="K252" s="143"/>
      <c r="L252" s="143"/>
      <c r="M252" s="145"/>
      <c r="N252" s="143"/>
      <c r="O252" s="145"/>
      <c r="P252" s="143"/>
      <c r="Q252" s="143"/>
      <c r="R252" s="143"/>
      <c r="S252" s="143"/>
      <c r="T252" s="142"/>
      <c r="U252" s="143"/>
      <c r="V252" s="142"/>
      <c r="W252" s="143">
        <v>920896.08</v>
      </c>
      <c r="X252" s="143"/>
      <c r="Y252" s="124"/>
      <c r="Z252" s="122"/>
      <c r="AA252" s="121"/>
      <c r="AB252" s="122"/>
    </row>
    <row r="253" spans="1:31" ht="17.25" customHeight="1" x14ac:dyDescent="0.25">
      <c r="A253" s="147">
        <f t="shared" si="18"/>
        <v>167</v>
      </c>
      <c r="B253" s="5" t="s">
        <v>150</v>
      </c>
      <c r="C253" s="145">
        <f t="shared" si="17"/>
        <v>1156542.51</v>
      </c>
      <c r="D253" s="145"/>
      <c r="E253" s="143"/>
      <c r="F253" s="143"/>
      <c r="G253" s="143"/>
      <c r="H253" s="143"/>
      <c r="I253" s="143"/>
      <c r="J253" s="143"/>
      <c r="K253" s="143"/>
      <c r="L253" s="143"/>
      <c r="M253" s="145"/>
      <c r="N253" s="143"/>
      <c r="O253" s="143"/>
      <c r="P253" s="143"/>
      <c r="Q253" s="143"/>
      <c r="R253" s="143"/>
      <c r="S253" s="143"/>
      <c r="T253" s="143"/>
      <c r="U253" s="143"/>
      <c r="V253" s="142"/>
      <c r="W253" s="143">
        <f>205559.85+950982.66</f>
        <v>1156542.51</v>
      </c>
      <c r="X253" s="143"/>
      <c r="Y253" s="124"/>
      <c r="Z253" s="122"/>
      <c r="AA253" s="121"/>
      <c r="AB253" s="122"/>
    </row>
    <row r="254" spans="1:31" ht="17.25" customHeight="1" x14ac:dyDescent="0.25">
      <c r="A254" s="147">
        <f t="shared" si="18"/>
        <v>168</v>
      </c>
      <c r="B254" s="5" t="s">
        <v>151</v>
      </c>
      <c r="C254" s="145">
        <f t="shared" si="17"/>
        <v>1590486.0799999998</v>
      </c>
      <c r="D254" s="145"/>
      <c r="E254" s="143"/>
      <c r="F254" s="143"/>
      <c r="G254" s="143"/>
      <c r="H254" s="143"/>
      <c r="I254" s="143"/>
      <c r="J254" s="143"/>
      <c r="K254" s="143"/>
      <c r="L254" s="143"/>
      <c r="M254" s="145"/>
      <c r="N254" s="143"/>
      <c r="O254" s="143"/>
      <c r="P254" s="143"/>
      <c r="Q254" s="143"/>
      <c r="R254" s="143"/>
      <c r="S254" s="143"/>
      <c r="T254" s="143"/>
      <c r="U254" s="143"/>
      <c r="V254" s="142"/>
      <c r="W254" s="143">
        <f>829247.33+610393.84+150844.91</f>
        <v>1590486.0799999998</v>
      </c>
      <c r="X254" s="143"/>
      <c r="Y254" s="124"/>
      <c r="Z254" s="122"/>
      <c r="AA254" s="121"/>
      <c r="AB254" s="122"/>
    </row>
    <row r="255" spans="1:31" ht="17.25" customHeight="1" x14ac:dyDescent="0.25">
      <c r="A255" s="147">
        <f t="shared" si="18"/>
        <v>169</v>
      </c>
      <c r="B255" s="5" t="s">
        <v>152</v>
      </c>
      <c r="C255" s="145">
        <f t="shared" si="17"/>
        <v>980092.24</v>
      </c>
      <c r="D255" s="145"/>
      <c r="E255" s="143"/>
      <c r="F255" s="143"/>
      <c r="G255" s="143"/>
      <c r="H255" s="143"/>
      <c r="I255" s="143"/>
      <c r="J255" s="143"/>
      <c r="K255" s="143"/>
      <c r="L255" s="143"/>
      <c r="M255" s="145"/>
      <c r="N255" s="143"/>
      <c r="O255" s="143"/>
      <c r="P255" s="143"/>
      <c r="Q255" s="145"/>
      <c r="R255" s="143"/>
      <c r="S255" s="143"/>
      <c r="T255" s="143"/>
      <c r="U255" s="143"/>
      <c r="V255" s="142"/>
      <c r="W255" s="143">
        <f>150844.91+829247.33</f>
        <v>980092.24</v>
      </c>
      <c r="X255" s="143"/>
      <c r="Y255" s="124"/>
      <c r="Z255" s="122"/>
      <c r="AA255" s="122"/>
      <c r="AB255" s="122"/>
    </row>
    <row r="256" spans="1:31" ht="17.25" customHeight="1" x14ac:dyDescent="0.25">
      <c r="A256" s="203" t="s">
        <v>18</v>
      </c>
      <c r="B256" s="203"/>
      <c r="C256" s="143">
        <f>SUM(C227:C255)</f>
        <v>73990910.969999984</v>
      </c>
      <c r="D256" s="143">
        <f>SUM(D227:D255)</f>
        <v>1476031.97</v>
      </c>
      <c r="E256" s="143">
        <f>SUM(E227:E255)</f>
        <v>1476031.97</v>
      </c>
      <c r="F256" s="143"/>
      <c r="G256" s="143"/>
      <c r="H256" s="143"/>
      <c r="I256" s="143"/>
      <c r="J256" s="143"/>
      <c r="K256" s="143"/>
      <c r="L256" s="143">
        <f>SUM(L227:L255)</f>
        <v>624</v>
      </c>
      <c r="M256" s="143">
        <f>SUM(M227:M255)</f>
        <v>2157082.29</v>
      </c>
      <c r="N256" s="143"/>
      <c r="O256" s="143"/>
      <c r="P256" s="143">
        <f>SUM(P227:P255)</f>
        <v>9267.8100000000013</v>
      </c>
      <c r="Q256" s="143">
        <f>SUM(Q227:Q255)</f>
        <v>38170065.200000003</v>
      </c>
      <c r="R256" s="143"/>
      <c r="S256" s="143"/>
      <c r="T256" s="143">
        <f>SUM(T227:T255)</f>
        <v>842</v>
      </c>
      <c r="U256" s="143">
        <f>SUM(U227:U255)</f>
        <v>2999215.03</v>
      </c>
      <c r="V256" s="143"/>
      <c r="W256" s="143">
        <f>SUM(W227:W255)</f>
        <v>29188516.479999997</v>
      </c>
      <c r="X256" s="143">
        <f>SUM(X227:X255)</f>
        <v>0</v>
      </c>
      <c r="Y256" s="124"/>
      <c r="Z256" s="122"/>
      <c r="AA256" s="122"/>
      <c r="AB256" s="122"/>
      <c r="AE256" s="123"/>
    </row>
    <row r="257" spans="1:31" ht="17.25" customHeight="1" x14ac:dyDescent="0.25">
      <c r="A257" s="188" t="s">
        <v>153</v>
      </c>
      <c r="B257" s="188"/>
      <c r="C257" s="188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24"/>
      <c r="Z257" s="122"/>
      <c r="AA257" s="121"/>
      <c r="AB257" s="122"/>
    </row>
    <row r="258" spans="1:31" ht="17.25" customHeight="1" x14ac:dyDescent="0.25">
      <c r="A258" s="144">
        <f>A255+1</f>
        <v>170</v>
      </c>
      <c r="B258" s="5" t="s">
        <v>347</v>
      </c>
      <c r="C258" s="145">
        <f>D258+K258+M258+O258+Q258+S258+U258+V258+W258+X258</f>
        <v>354223.86</v>
      </c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>
        <v>354223.86</v>
      </c>
      <c r="X258" s="143"/>
      <c r="Y258" s="124"/>
      <c r="Z258" s="122"/>
      <c r="AA258" s="121"/>
      <c r="AB258" s="122"/>
    </row>
    <row r="259" spans="1:31" ht="17.25" customHeight="1" x14ac:dyDescent="0.25">
      <c r="A259" s="203" t="s">
        <v>18</v>
      </c>
      <c r="B259" s="203"/>
      <c r="C259" s="143">
        <f>SUM(C258:C258)</f>
        <v>354223.86</v>
      </c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>
        <f>SUM(W258:W258)</f>
        <v>354223.86</v>
      </c>
      <c r="X259" s="143"/>
      <c r="Y259" s="124"/>
      <c r="Z259" s="122"/>
      <c r="AA259" s="122"/>
      <c r="AB259" s="122"/>
    </row>
    <row r="260" spans="1:31" ht="17.25" customHeight="1" x14ac:dyDescent="0.25">
      <c r="A260" s="188" t="s">
        <v>154</v>
      </c>
      <c r="B260" s="188"/>
      <c r="C260" s="188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24"/>
      <c r="Z260" s="122"/>
      <c r="AA260" s="121"/>
      <c r="AB260" s="122"/>
    </row>
    <row r="261" spans="1:31" ht="17.25" customHeight="1" x14ac:dyDescent="0.25">
      <c r="A261" s="144">
        <f>A258+1</f>
        <v>171</v>
      </c>
      <c r="B261" s="5" t="s">
        <v>348</v>
      </c>
      <c r="C261" s="145">
        <f>D261+K261+M261+O261+Q261+S261+U261+V261+W261+X261</f>
        <v>212713.7</v>
      </c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>
        <v>212713.7</v>
      </c>
      <c r="X261" s="143"/>
      <c r="Y261" s="124"/>
      <c r="Z261" s="122"/>
      <c r="AA261" s="121"/>
      <c r="AB261" s="122"/>
    </row>
    <row r="262" spans="1:31" ht="17.25" customHeight="1" x14ac:dyDescent="0.25">
      <c r="A262" s="203" t="s">
        <v>18</v>
      </c>
      <c r="B262" s="203"/>
      <c r="C262" s="143">
        <f>SUM(C261:C261)</f>
        <v>212713.7</v>
      </c>
      <c r="D262" s="143"/>
      <c r="E262" s="143"/>
      <c r="F262" s="143"/>
      <c r="G262" s="143"/>
      <c r="H262" s="143"/>
      <c r="I262" s="143"/>
      <c r="J262" s="143"/>
      <c r="K262" s="143"/>
      <c r="L262" s="143">
        <f>SUM(L261:L261)</f>
        <v>0</v>
      </c>
      <c r="M262" s="143">
        <f>SUM(M261:M261)</f>
        <v>0</v>
      </c>
      <c r="N262" s="143"/>
      <c r="O262" s="143"/>
      <c r="P262" s="143"/>
      <c r="Q262" s="143"/>
      <c r="R262" s="143"/>
      <c r="S262" s="143"/>
      <c r="T262" s="143"/>
      <c r="U262" s="143"/>
      <c r="V262" s="143"/>
      <c r="W262" s="143">
        <f>SUM(W261:W261)</f>
        <v>212713.7</v>
      </c>
      <c r="X262" s="143">
        <f>SUM(X261:X261)</f>
        <v>0</v>
      </c>
      <c r="Y262" s="124"/>
      <c r="Z262" s="122"/>
      <c r="AA262" s="122"/>
      <c r="AB262" s="122"/>
      <c r="AE262" s="123"/>
    </row>
    <row r="263" spans="1:31" ht="17.25" customHeight="1" x14ac:dyDescent="0.25">
      <c r="A263" s="188" t="s">
        <v>155</v>
      </c>
      <c r="B263" s="188"/>
      <c r="C263" s="142">
        <f>C256+C259+C262</f>
        <v>74557848.529999986</v>
      </c>
      <c r="D263" s="142">
        <f t="shared" ref="D263:X263" si="20">D256+D259+D262</f>
        <v>1476031.97</v>
      </c>
      <c r="E263" s="142">
        <f t="shared" si="20"/>
        <v>1476031.97</v>
      </c>
      <c r="F263" s="142">
        <f t="shared" si="20"/>
        <v>0</v>
      </c>
      <c r="G263" s="142">
        <f t="shared" si="20"/>
        <v>0</v>
      </c>
      <c r="H263" s="142">
        <f t="shared" si="20"/>
        <v>0</v>
      </c>
      <c r="I263" s="142">
        <f t="shared" si="20"/>
        <v>0</v>
      </c>
      <c r="J263" s="142">
        <f t="shared" si="20"/>
        <v>0</v>
      </c>
      <c r="K263" s="142">
        <f t="shared" si="20"/>
        <v>0</v>
      </c>
      <c r="L263" s="142">
        <f t="shared" si="20"/>
        <v>624</v>
      </c>
      <c r="M263" s="142">
        <f t="shared" si="20"/>
        <v>2157082.29</v>
      </c>
      <c r="N263" s="142">
        <f t="shared" si="20"/>
        <v>0</v>
      </c>
      <c r="O263" s="142">
        <f t="shared" si="20"/>
        <v>0</v>
      </c>
      <c r="P263" s="142">
        <f t="shared" si="20"/>
        <v>9267.8100000000013</v>
      </c>
      <c r="Q263" s="142">
        <f t="shared" si="20"/>
        <v>38170065.200000003</v>
      </c>
      <c r="R263" s="142">
        <f t="shared" si="20"/>
        <v>0</v>
      </c>
      <c r="S263" s="142">
        <f t="shared" si="20"/>
        <v>0</v>
      </c>
      <c r="T263" s="142">
        <f t="shared" si="20"/>
        <v>842</v>
      </c>
      <c r="U263" s="142">
        <f t="shared" si="20"/>
        <v>2999215.03</v>
      </c>
      <c r="V263" s="142">
        <f t="shared" si="20"/>
        <v>0</v>
      </c>
      <c r="W263" s="142">
        <f t="shared" si="20"/>
        <v>29755454.039999995</v>
      </c>
      <c r="X263" s="142">
        <f t="shared" si="20"/>
        <v>0</v>
      </c>
      <c r="Y263" s="124"/>
      <c r="Z263" s="122"/>
      <c r="AA263" s="132"/>
      <c r="AB263" s="122"/>
      <c r="AC263" s="131"/>
    </row>
    <row r="264" spans="1:31" ht="18" customHeight="1" x14ac:dyDescent="0.25">
      <c r="A264" s="204" t="s">
        <v>50</v>
      </c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124"/>
      <c r="Z264" s="122"/>
      <c r="AB264" s="122"/>
    </row>
    <row r="265" spans="1:31" ht="15.75" customHeight="1" x14ac:dyDescent="0.25">
      <c r="A265" s="188" t="s">
        <v>51</v>
      </c>
      <c r="B265" s="188"/>
      <c r="C265" s="188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24"/>
      <c r="Z265" s="122"/>
      <c r="AB265" s="122"/>
    </row>
    <row r="266" spans="1:31" ht="15.75" customHeight="1" x14ac:dyDescent="0.25">
      <c r="A266" s="144">
        <f>A261+1</f>
        <v>172</v>
      </c>
      <c r="B266" s="5" t="s">
        <v>349</v>
      </c>
      <c r="C266" s="145">
        <f>D266+K266+M266+O266+Q266+S266+U266+V266+W266+X266</f>
        <v>13503230.789999999</v>
      </c>
      <c r="D266" s="145"/>
      <c r="E266" s="145"/>
      <c r="F266" s="145"/>
      <c r="G266" s="145"/>
      <c r="H266" s="145"/>
      <c r="I266" s="145"/>
      <c r="J266" s="147">
        <v>6</v>
      </c>
      <c r="K266" s="143">
        <v>13503230.789999999</v>
      </c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24"/>
      <c r="Z266" s="122"/>
      <c r="AB266" s="122"/>
    </row>
    <row r="267" spans="1:31" ht="15.75" customHeight="1" x14ac:dyDescent="0.25">
      <c r="A267" s="144">
        <f>A266+1</f>
        <v>173</v>
      </c>
      <c r="B267" s="5" t="s">
        <v>350</v>
      </c>
      <c r="C267" s="145">
        <f>D267+K267+M267+O267+Q267+S267+U267+V267+W267+X267</f>
        <v>13503230.789999999</v>
      </c>
      <c r="D267" s="145"/>
      <c r="E267" s="145"/>
      <c r="F267" s="145"/>
      <c r="G267" s="145"/>
      <c r="H267" s="145"/>
      <c r="I267" s="145"/>
      <c r="J267" s="147">
        <v>6</v>
      </c>
      <c r="K267" s="143">
        <v>13503230.789999999</v>
      </c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24"/>
      <c r="Z267" s="122"/>
      <c r="AB267" s="122"/>
    </row>
    <row r="268" spans="1:31" ht="15.75" customHeight="1" x14ac:dyDescent="0.25">
      <c r="A268" s="144">
        <f>A267+1</f>
        <v>174</v>
      </c>
      <c r="B268" s="5" t="s">
        <v>352</v>
      </c>
      <c r="C268" s="145">
        <f>D268+K268+M268+O268+Q268+S268+U268+V268+W268+X268</f>
        <v>1574310</v>
      </c>
      <c r="D268" s="145"/>
      <c r="E268" s="145"/>
      <c r="F268" s="145"/>
      <c r="G268" s="145"/>
      <c r="H268" s="145"/>
      <c r="I268" s="145"/>
      <c r="J268" s="145"/>
      <c r="K268" s="143"/>
      <c r="L268" s="145">
        <v>1300</v>
      </c>
      <c r="M268" s="145">
        <v>1574310</v>
      </c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24"/>
      <c r="Z268" s="122"/>
      <c r="AB268" s="122"/>
    </row>
    <row r="269" spans="1:31" ht="15.75" customHeight="1" x14ac:dyDescent="0.25">
      <c r="A269" s="144">
        <f>A268+1</f>
        <v>175</v>
      </c>
      <c r="B269" s="5" t="s">
        <v>351</v>
      </c>
      <c r="C269" s="145">
        <f>D269+K269+M269+O269+Q269+S269+U269+V269+W269+X269</f>
        <v>11412136.050000001</v>
      </c>
      <c r="D269" s="145"/>
      <c r="E269" s="145"/>
      <c r="F269" s="145"/>
      <c r="G269" s="145"/>
      <c r="H269" s="145"/>
      <c r="I269" s="145"/>
      <c r="J269" s="147">
        <v>5</v>
      </c>
      <c r="K269" s="143">
        <v>11412136.050000001</v>
      </c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24"/>
      <c r="Z269" s="122"/>
      <c r="AB269" s="122"/>
    </row>
    <row r="270" spans="1:31" ht="15.75" customHeight="1" x14ac:dyDescent="0.25">
      <c r="A270" s="203" t="s">
        <v>18</v>
      </c>
      <c r="B270" s="203"/>
      <c r="C270" s="145">
        <f>SUM(C266:C269)</f>
        <v>39992907.629999995</v>
      </c>
      <c r="D270" s="145"/>
      <c r="E270" s="145"/>
      <c r="F270" s="145"/>
      <c r="G270" s="145"/>
      <c r="H270" s="145"/>
      <c r="I270" s="145"/>
      <c r="J270" s="147">
        <f>SUM(J266:J269)</f>
        <v>17</v>
      </c>
      <c r="K270" s="145">
        <f>SUM(K266:K269)</f>
        <v>38418597.629999995</v>
      </c>
      <c r="L270" s="145">
        <f>SUM(L266:L269)</f>
        <v>1300</v>
      </c>
      <c r="M270" s="145">
        <f>SUM(M266:M269)</f>
        <v>1574310</v>
      </c>
      <c r="N270" s="145"/>
      <c r="O270" s="145"/>
      <c r="P270" s="145">
        <f>SUM(P266:P269)</f>
        <v>0</v>
      </c>
      <c r="Q270" s="145">
        <f>SUM(Q266:Q269)</f>
        <v>0</v>
      </c>
      <c r="R270" s="145"/>
      <c r="S270" s="145"/>
      <c r="T270" s="145"/>
      <c r="U270" s="145"/>
      <c r="V270" s="145"/>
      <c r="W270" s="145"/>
      <c r="X270" s="145">
        <f>SUM(X266:X269)</f>
        <v>0</v>
      </c>
      <c r="Y270" s="124"/>
      <c r="Z270" s="122"/>
      <c r="AA270" s="122"/>
      <c r="AB270" s="122"/>
      <c r="AE270" s="123"/>
    </row>
    <row r="271" spans="1:31" ht="15.75" customHeight="1" x14ac:dyDescent="0.25">
      <c r="A271" s="188" t="s">
        <v>52</v>
      </c>
      <c r="B271" s="188"/>
      <c r="C271" s="188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24"/>
      <c r="Z271" s="122"/>
      <c r="AB271" s="122"/>
    </row>
    <row r="272" spans="1:31" ht="15.75" customHeight="1" x14ac:dyDescent="0.25">
      <c r="A272" s="144">
        <f>A269+1</f>
        <v>176</v>
      </c>
      <c r="B272" s="5" t="s">
        <v>353</v>
      </c>
      <c r="C272" s="145">
        <f>D272+K272+M272+O272+Q272+S272+U272+V272+W272+X272</f>
        <v>11395267.92</v>
      </c>
      <c r="D272" s="145"/>
      <c r="E272" s="145"/>
      <c r="F272" s="145"/>
      <c r="G272" s="145"/>
      <c r="H272" s="145"/>
      <c r="I272" s="145"/>
      <c r="J272" s="147">
        <v>5</v>
      </c>
      <c r="K272" s="145">
        <v>11395267.92</v>
      </c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24"/>
      <c r="Z272" s="122"/>
      <c r="AB272" s="122"/>
    </row>
    <row r="273" spans="1:31" ht="15.75" customHeight="1" x14ac:dyDescent="0.25">
      <c r="A273" s="144">
        <f>A272+1</f>
        <v>177</v>
      </c>
      <c r="B273" s="5" t="s">
        <v>354</v>
      </c>
      <c r="C273" s="145">
        <f>D273+K273+M273+O273+Q273+S273+U273+V273+W273+X273</f>
        <v>634483.03</v>
      </c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>
        <v>634483.03</v>
      </c>
      <c r="X273" s="145"/>
      <c r="Y273" s="124"/>
      <c r="Z273" s="122"/>
      <c r="AB273" s="122"/>
    </row>
    <row r="274" spans="1:31" ht="15.75" customHeight="1" x14ac:dyDescent="0.25">
      <c r="A274" s="144">
        <f>A273+1</f>
        <v>178</v>
      </c>
      <c r="B274" s="5" t="s">
        <v>356</v>
      </c>
      <c r="C274" s="145">
        <f>D274+K274+M274+O274+Q274+S274+U274+V274+W274+X274</f>
        <v>303605.46000000002</v>
      </c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>
        <v>303605.46000000002</v>
      </c>
      <c r="X274" s="145"/>
      <c r="Y274" s="124"/>
      <c r="Z274" s="122"/>
      <c r="AB274" s="122"/>
    </row>
    <row r="275" spans="1:31" ht="15.75" customHeight="1" x14ac:dyDescent="0.25">
      <c r="A275" s="144">
        <f>A274+1</f>
        <v>179</v>
      </c>
      <c r="B275" s="5" t="s">
        <v>357</v>
      </c>
      <c r="C275" s="145">
        <f>D275+K275+M275+O275+Q275+S275+U275+V275+W275+X275</f>
        <v>362201.9</v>
      </c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>
        <v>362201.9</v>
      </c>
      <c r="X275" s="145"/>
      <c r="Y275" s="124"/>
      <c r="Z275" s="122"/>
      <c r="AB275" s="122"/>
    </row>
    <row r="276" spans="1:31" ht="15.75" customHeight="1" x14ac:dyDescent="0.25">
      <c r="A276" s="144">
        <f>A275+1</f>
        <v>180</v>
      </c>
      <c r="B276" s="5" t="s">
        <v>355</v>
      </c>
      <c r="C276" s="145">
        <f>D276+K276+M276+O276+Q276+S276+U276+V276+W276+X276</f>
        <v>294686.88</v>
      </c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>
        <v>294686.88</v>
      </c>
      <c r="X276" s="145"/>
      <c r="Y276" s="124"/>
      <c r="Z276" s="122"/>
      <c r="AB276" s="122"/>
    </row>
    <row r="277" spans="1:31" ht="15.75" customHeight="1" x14ac:dyDescent="0.25">
      <c r="A277" s="203" t="s">
        <v>18</v>
      </c>
      <c r="B277" s="203"/>
      <c r="C277" s="145">
        <f>SUM(C272:C276)</f>
        <v>12990245.190000001</v>
      </c>
      <c r="D277" s="145"/>
      <c r="E277" s="145"/>
      <c r="F277" s="145"/>
      <c r="G277" s="145"/>
      <c r="H277" s="145"/>
      <c r="I277" s="145"/>
      <c r="J277" s="147">
        <f>SUM(J272:J276)</f>
        <v>5</v>
      </c>
      <c r="K277" s="145">
        <f>SUM(K272:K276)</f>
        <v>11395267.92</v>
      </c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>
        <f>SUM(W272:W276)</f>
        <v>1594977.27</v>
      </c>
      <c r="X277" s="145">
        <f>SUM(X272:X276)</f>
        <v>0</v>
      </c>
      <c r="Y277" s="124"/>
      <c r="Z277" s="122"/>
      <c r="AA277" s="122"/>
      <c r="AB277" s="122"/>
      <c r="AE277" s="123"/>
    </row>
    <row r="278" spans="1:31" ht="15.75" customHeight="1" x14ac:dyDescent="0.25">
      <c r="A278" s="189" t="s">
        <v>53</v>
      </c>
      <c r="B278" s="189"/>
      <c r="C278" s="189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24"/>
      <c r="Z278" s="122"/>
      <c r="AB278" s="122"/>
    </row>
    <row r="279" spans="1:31" ht="15.75" customHeight="1" x14ac:dyDescent="0.25">
      <c r="A279" s="144">
        <f>A276+1</f>
        <v>181</v>
      </c>
      <c r="B279" s="5" t="s">
        <v>603</v>
      </c>
      <c r="C279" s="145">
        <f>D279+K279+M279+O279+Q279+S279+U279+V279+W279+X279</f>
        <v>785235.72</v>
      </c>
      <c r="D279" s="145"/>
      <c r="E279" s="145"/>
      <c r="F279" s="145"/>
      <c r="G279" s="145"/>
      <c r="H279" s="145"/>
      <c r="I279" s="145"/>
      <c r="J279" s="145"/>
      <c r="K279" s="145"/>
      <c r="L279" s="145">
        <v>416</v>
      </c>
      <c r="M279" s="145">
        <v>785235.72</v>
      </c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24"/>
      <c r="Z279" s="122"/>
      <c r="AB279" s="122"/>
    </row>
    <row r="280" spans="1:31" ht="15.75" customHeight="1" x14ac:dyDescent="0.25">
      <c r="A280" s="144">
        <f>A279+1</f>
        <v>182</v>
      </c>
      <c r="B280" s="5" t="s">
        <v>604</v>
      </c>
      <c r="C280" s="145">
        <f>D280+K280+M280+O280+Q280+S280+U280+V280+W280+X280</f>
        <v>1091330.08</v>
      </c>
      <c r="D280" s="145"/>
      <c r="E280" s="145"/>
      <c r="F280" s="145"/>
      <c r="G280" s="145"/>
      <c r="H280" s="145"/>
      <c r="I280" s="145"/>
      <c r="J280" s="145"/>
      <c r="K280" s="145"/>
      <c r="L280" s="145">
        <v>520</v>
      </c>
      <c r="M280" s="145">
        <v>1091330.08</v>
      </c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24"/>
      <c r="Z280" s="122"/>
      <c r="AA280" s="122"/>
      <c r="AB280" s="122"/>
    </row>
    <row r="281" spans="1:31" ht="15.75" customHeight="1" x14ac:dyDescent="0.25">
      <c r="A281" s="144">
        <f>A280+1</f>
        <v>183</v>
      </c>
      <c r="B281" s="5" t="s">
        <v>360</v>
      </c>
      <c r="C281" s="145">
        <f>D281+K281+M281+O281+Q281+S281+U281+V281+W281+X281</f>
        <v>528871.28</v>
      </c>
      <c r="D281" s="145"/>
      <c r="E281" s="145"/>
      <c r="F281" s="145"/>
      <c r="G281" s="145"/>
      <c r="H281" s="145"/>
      <c r="I281" s="145"/>
      <c r="J281" s="147"/>
      <c r="K281" s="145"/>
      <c r="L281" s="145">
        <v>272</v>
      </c>
      <c r="M281" s="145">
        <v>528871.28</v>
      </c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24"/>
      <c r="Z281" s="122"/>
      <c r="AA281" s="122"/>
      <c r="AB281" s="122"/>
    </row>
    <row r="282" spans="1:31" ht="15.75" customHeight="1" x14ac:dyDescent="0.25">
      <c r="A282" s="203" t="s">
        <v>18</v>
      </c>
      <c r="B282" s="203"/>
      <c r="C282" s="145">
        <f>SUM(C279:C281)</f>
        <v>2405437.08</v>
      </c>
      <c r="D282" s="145"/>
      <c r="E282" s="145"/>
      <c r="F282" s="145"/>
      <c r="G282" s="145"/>
      <c r="H282" s="145"/>
      <c r="I282" s="145"/>
      <c r="J282" s="145"/>
      <c r="K282" s="145"/>
      <c r="L282" s="145">
        <f>SUM(L279:L281)</f>
        <v>1208</v>
      </c>
      <c r="M282" s="145">
        <f>SUM(M279:M281)</f>
        <v>2405437.08</v>
      </c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24"/>
      <c r="Z282" s="122"/>
      <c r="AA282" s="122"/>
      <c r="AB282" s="122"/>
      <c r="AE282" s="123"/>
    </row>
    <row r="283" spans="1:31" ht="18" customHeight="1" x14ac:dyDescent="0.25">
      <c r="A283" s="188" t="s">
        <v>54</v>
      </c>
      <c r="B283" s="188"/>
      <c r="C283" s="149">
        <f>C270+C277+C282</f>
        <v>55388589.899999991</v>
      </c>
      <c r="D283" s="149"/>
      <c r="E283" s="149"/>
      <c r="F283" s="149"/>
      <c r="G283" s="149"/>
      <c r="H283" s="149"/>
      <c r="I283" s="149"/>
      <c r="J283" s="16">
        <f>J270+J277+J282</f>
        <v>22</v>
      </c>
      <c r="K283" s="149">
        <f>K270+K277+K282</f>
        <v>49813865.549999997</v>
      </c>
      <c r="L283" s="149">
        <f>L270+L277+L282</f>
        <v>2508</v>
      </c>
      <c r="M283" s="149">
        <f>M270+M277+M282</f>
        <v>3979747.08</v>
      </c>
      <c r="N283" s="149"/>
      <c r="O283" s="149"/>
      <c r="P283" s="149">
        <f>P270+P277+P282</f>
        <v>0</v>
      </c>
      <c r="Q283" s="149">
        <f>Q270+Q277+Q282</f>
        <v>0</v>
      </c>
      <c r="R283" s="149"/>
      <c r="S283" s="149"/>
      <c r="T283" s="149"/>
      <c r="U283" s="149"/>
      <c r="V283" s="149"/>
      <c r="W283" s="149">
        <f>W270+W277+W282</f>
        <v>1594977.27</v>
      </c>
      <c r="X283" s="149">
        <f>X270+X277+X282</f>
        <v>0</v>
      </c>
      <c r="Y283" s="124"/>
      <c r="Z283" s="122"/>
      <c r="AA283" s="122"/>
      <c r="AB283" s="122"/>
    </row>
    <row r="284" spans="1:31" ht="18" customHeight="1" x14ac:dyDescent="0.25">
      <c r="A284" s="204" t="s">
        <v>55</v>
      </c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124"/>
      <c r="Z284" s="122"/>
      <c r="AB284" s="122"/>
    </row>
    <row r="285" spans="1:31" ht="17.25" customHeight="1" x14ac:dyDescent="0.25">
      <c r="A285" s="188" t="s">
        <v>56</v>
      </c>
      <c r="B285" s="188"/>
      <c r="C285" s="188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24"/>
      <c r="Z285" s="122"/>
      <c r="AB285" s="122"/>
    </row>
    <row r="286" spans="1:31" ht="17.25" customHeight="1" x14ac:dyDescent="0.25">
      <c r="A286" s="147">
        <f>A281+1</f>
        <v>184</v>
      </c>
      <c r="B286" s="5" t="s">
        <v>361</v>
      </c>
      <c r="C286" s="145">
        <f>D286+K286+M286+O286+Q286+S286+U286+V286+W286+X286</f>
        <v>4737788.1100000003</v>
      </c>
      <c r="D286" s="145"/>
      <c r="E286" s="145"/>
      <c r="F286" s="145"/>
      <c r="G286" s="145"/>
      <c r="H286" s="145"/>
      <c r="I286" s="145"/>
      <c r="J286" s="147">
        <v>2</v>
      </c>
      <c r="K286" s="145">
        <v>4737788.1100000003</v>
      </c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24"/>
      <c r="Z286" s="122"/>
      <c r="AB286" s="122"/>
    </row>
    <row r="287" spans="1:31" ht="17.25" customHeight="1" x14ac:dyDescent="0.25">
      <c r="A287" s="147">
        <f>A286+1</f>
        <v>185</v>
      </c>
      <c r="B287" s="5" t="s">
        <v>362</v>
      </c>
      <c r="C287" s="145">
        <f>D287+K287+M287+O287+Q287+S287+U287+V287+W287+X287</f>
        <v>9467929.7899999991</v>
      </c>
      <c r="D287" s="145"/>
      <c r="E287" s="145"/>
      <c r="F287" s="145"/>
      <c r="G287" s="145"/>
      <c r="H287" s="145"/>
      <c r="I287" s="145"/>
      <c r="J287" s="147">
        <v>4</v>
      </c>
      <c r="K287" s="145">
        <v>9467929.7899999991</v>
      </c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24"/>
      <c r="Z287" s="122"/>
      <c r="AB287" s="122"/>
    </row>
    <row r="288" spans="1:31" ht="17.25" customHeight="1" x14ac:dyDescent="0.25">
      <c r="A288" s="203" t="s">
        <v>18</v>
      </c>
      <c r="B288" s="203"/>
      <c r="C288" s="143">
        <f>SUM(C286:C287)</f>
        <v>14205717.899999999</v>
      </c>
      <c r="D288" s="143"/>
      <c r="E288" s="143"/>
      <c r="F288" s="143"/>
      <c r="G288" s="143"/>
      <c r="H288" s="143"/>
      <c r="I288" s="143"/>
      <c r="J288" s="144">
        <f>SUM(J286:J287)</f>
        <v>6</v>
      </c>
      <c r="K288" s="143">
        <f>SUM(K286:K287)</f>
        <v>14205717.899999999</v>
      </c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>
        <f>SUM(X286:X287)</f>
        <v>0</v>
      </c>
      <c r="Y288" s="124"/>
      <c r="Z288" s="122"/>
      <c r="AA288" s="122"/>
      <c r="AB288" s="122"/>
      <c r="AE288" s="123"/>
    </row>
    <row r="289" spans="1:29" ht="17.25" customHeight="1" x14ac:dyDescent="0.25">
      <c r="A289" s="188" t="s">
        <v>57</v>
      </c>
      <c r="B289" s="188"/>
      <c r="C289" s="188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24"/>
      <c r="Z289" s="122"/>
      <c r="AB289" s="122"/>
    </row>
    <row r="290" spans="1:29" ht="17.25" customHeight="1" x14ac:dyDescent="0.2">
      <c r="A290" s="147">
        <f>A287+1</f>
        <v>186</v>
      </c>
      <c r="B290" s="14" t="s">
        <v>363</v>
      </c>
      <c r="C290" s="145">
        <f>D290+K290+M290+O290+Q290+S290+U290+V290+W290+X290</f>
        <v>488568.1</v>
      </c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3">
        <v>488568.1</v>
      </c>
      <c r="X290" s="143"/>
      <c r="Y290" s="124"/>
      <c r="Z290" s="122"/>
      <c r="AB290" s="122"/>
    </row>
    <row r="291" spans="1:29" ht="17.25" customHeight="1" x14ac:dyDescent="0.2">
      <c r="A291" s="147">
        <f>A290+1</f>
        <v>187</v>
      </c>
      <c r="B291" s="14" t="s">
        <v>58</v>
      </c>
      <c r="C291" s="145">
        <f>D291+K291+M291+O291+Q291+S291+U291+V291+W291+X291</f>
        <v>489791.92</v>
      </c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>
        <v>489791.92</v>
      </c>
      <c r="X291" s="145"/>
      <c r="Y291" s="124"/>
      <c r="Z291" s="122"/>
      <c r="AB291" s="122"/>
    </row>
    <row r="292" spans="1:29" ht="17.25" customHeight="1" x14ac:dyDescent="0.25">
      <c r="A292" s="203" t="s">
        <v>18</v>
      </c>
      <c r="B292" s="203"/>
      <c r="C292" s="143">
        <f>SUM(C290:C291)</f>
        <v>978360.02</v>
      </c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>
        <f>SUM(W290:W291)</f>
        <v>978360.02</v>
      </c>
      <c r="X292" s="143"/>
      <c r="Y292" s="124"/>
      <c r="Z292" s="122"/>
      <c r="AA292" s="122"/>
      <c r="AB292" s="122"/>
    </row>
    <row r="293" spans="1:29" ht="17.25" customHeight="1" x14ac:dyDescent="0.25">
      <c r="A293" s="188" t="s">
        <v>59</v>
      </c>
      <c r="B293" s="188"/>
      <c r="C293" s="149">
        <f t="shared" ref="C293:X293" si="21">C288+C292</f>
        <v>15184077.919999998</v>
      </c>
      <c r="D293" s="149">
        <f t="shared" si="21"/>
        <v>0</v>
      </c>
      <c r="E293" s="149">
        <f t="shared" si="21"/>
        <v>0</v>
      </c>
      <c r="F293" s="149">
        <f t="shared" si="21"/>
        <v>0</v>
      </c>
      <c r="G293" s="149">
        <f t="shared" si="21"/>
        <v>0</v>
      </c>
      <c r="H293" s="149">
        <f t="shared" si="21"/>
        <v>0</v>
      </c>
      <c r="I293" s="149">
        <f t="shared" si="21"/>
        <v>0</v>
      </c>
      <c r="J293" s="149">
        <f t="shared" si="21"/>
        <v>6</v>
      </c>
      <c r="K293" s="149">
        <f t="shared" si="21"/>
        <v>14205717.899999999</v>
      </c>
      <c r="L293" s="149">
        <f t="shared" si="21"/>
        <v>0</v>
      </c>
      <c r="M293" s="149">
        <f t="shared" si="21"/>
        <v>0</v>
      </c>
      <c r="N293" s="149">
        <f t="shared" si="21"/>
        <v>0</v>
      </c>
      <c r="O293" s="149">
        <f t="shared" si="21"/>
        <v>0</v>
      </c>
      <c r="P293" s="149">
        <f t="shared" si="21"/>
        <v>0</v>
      </c>
      <c r="Q293" s="149">
        <f t="shared" si="21"/>
        <v>0</v>
      </c>
      <c r="R293" s="149">
        <f t="shared" si="21"/>
        <v>0</v>
      </c>
      <c r="S293" s="149">
        <f t="shared" si="21"/>
        <v>0</v>
      </c>
      <c r="T293" s="149">
        <f t="shared" si="21"/>
        <v>0</v>
      </c>
      <c r="U293" s="149">
        <f t="shared" si="21"/>
        <v>0</v>
      </c>
      <c r="V293" s="149">
        <f t="shared" si="21"/>
        <v>0</v>
      </c>
      <c r="W293" s="149">
        <f t="shared" si="21"/>
        <v>978360.02</v>
      </c>
      <c r="X293" s="149">
        <f t="shared" si="21"/>
        <v>0</v>
      </c>
      <c r="Y293" s="124"/>
      <c r="Z293" s="122"/>
      <c r="AA293" s="133"/>
      <c r="AB293" s="122"/>
      <c r="AC293" s="131"/>
    </row>
    <row r="294" spans="1:29" ht="15" customHeight="1" x14ac:dyDescent="0.25">
      <c r="A294" s="204" t="s">
        <v>156</v>
      </c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124"/>
      <c r="Z294" s="122"/>
      <c r="AA294" s="121"/>
      <c r="AB294" s="122"/>
    </row>
    <row r="295" spans="1:29" ht="17.25" customHeight="1" x14ac:dyDescent="0.25">
      <c r="A295" s="188" t="s">
        <v>157</v>
      </c>
      <c r="B295" s="188"/>
      <c r="C295" s="188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24"/>
      <c r="Z295" s="122"/>
      <c r="AA295" s="121"/>
      <c r="AB295" s="122"/>
    </row>
    <row r="296" spans="1:29" ht="17.25" customHeight="1" x14ac:dyDescent="0.25">
      <c r="A296" s="147">
        <f>A291+1</f>
        <v>188</v>
      </c>
      <c r="B296" s="5" t="s">
        <v>364</v>
      </c>
      <c r="C296" s="145">
        <f t="shared" ref="C296:C304" si="22">D296+K296+M296+O296+Q296+S296+U296+V296+W296+X296</f>
        <v>281294.05000000005</v>
      </c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3"/>
      <c r="W296" s="143">
        <f>141980.7+139313.35</f>
        <v>281294.05000000005</v>
      </c>
      <c r="X296" s="143"/>
      <c r="Y296" s="124"/>
      <c r="Z296" s="122"/>
      <c r="AA296" s="121"/>
      <c r="AB296" s="122"/>
    </row>
    <row r="297" spans="1:29" ht="17.25" customHeight="1" x14ac:dyDescent="0.25">
      <c r="A297" s="144">
        <f t="shared" ref="A297:A304" si="23">A296+1</f>
        <v>189</v>
      </c>
      <c r="B297" s="5" t="s">
        <v>365</v>
      </c>
      <c r="C297" s="145">
        <f t="shared" si="22"/>
        <v>320093.12</v>
      </c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3"/>
      <c r="W297" s="143">
        <f>178863.78+141229.34</f>
        <v>320093.12</v>
      </c>
      <c r="X297" s="143"/>
      <c r="Y297" s="124"/>
      <c r="Z297" s="122"/>
      <c r="AA297" s="121"/>
      <c r="AB297" s="122"/>
    </row>
    <row r="298" spans="1:29" ht="17.25" customHeight="1" x14ac:dyDescent="0.25">
      <c r="A298" s="144">
        <f t="shared" si="23"/>
        <v>190</v>
      </c>
      <c r="B298" s="5" t="s">
        <v>366</v>
      </c>
      <c r="C298" s="145">
        <f t="shared" si="22"/>
        <v>3766911.58</v>
      </c>
      <c r="D298" s="145"/>
      <c r="E298" s="145"/>
      <c r="F298" s="145"/>
      <c r="G298" s="145"/>
      <c r="H298" s="145"/>
      <c r="I298" s="145"/>
      <c r="J298" s="145"/>
      <c r="K298" s="145"/>
      <c r="L298" s="145">
        <v>768</v>
      </c>
      <c r="M298" s="145">
        <v>3394942.77</v>
      </c>
      <c r="N298" s="145"/>
      <c r="O298" s="145"/>
      <c r="P298" s="145"/>
      <c r="Q298" s="32"/>
      <c r="R298" s="145"/>
      <c r="S298" s="145"/>
      <c r="T298" s="145"/>
      <c r="U298" s="145"/>
      <c r="V298" s="143"/>
      <c r="W298" s="143">
        <f>215188.94+156779.87</f>
        <v>371968.81</v>
      </c>
      <c r="X298" s="143"/>
      <c r="Y298" s="124"/>
      <c r="Z298" s="122"/>
      <c r="AA298" s="121"/>
      <c r="AB298" s="122"/>
    </row>
    <row r="299" spans="1:29" ht="17.25" customHeight="1" x14ac:dyDescent="0.25">
      <c r="A299" s="144">
        <f t="shared" si="23"/>
        <v>191</v>
      </c>
      <c r="B299" s="5" t="s">
        <v>367</v>
      </c>
      <c r="C299" s="145">
        <f t="shared" si="22"/>
        <v>1659045.85</v>
      </c>
      <c r="D299" s="145"/>
      <c r="E299" s="145"/>
      <c r="F299" s="145"/>
      <c r="G299" s="145"/>
      <c r="H299" s="145"/>
      <c r="I299" s="145"/>
      <c r="J299" s="145"/>
      <c r="K299" s="145"/>
      <c r="L299" s="145">
        <v>1002</v>
      </c>
      <c r="M299" s="145">
        <v>1659045.85</v>
      </c>
      <c r="N299" s="145"/>
      <c r="O299" s="145"/>
      <c r="P299" s="145"/>
      <c r="Q299" s="145"/>
      <c r="R299" s="145"/>
      <c r="S299" s="145"/>
      <c r="T299" s="145"/>
      <c r="U299" s="145"/>
      <c r="V299" s="143"/>
      <c r="W299" s="143"/>
      <c r="X299" s="143"/>
      <c r="Y299" s="124"/>
      <c r="Z299" s="122"/>
      <c r="AA299" s="121"/>
      <c r="AB299" s="122"/>
    </row>
    <row r="300" spans="1:29" ht="17.25" customHeight="1" x14ac:dyDescent="0.25">
      <c r="A300" s="144">
        <f t="shared" si="23"/>
        <v>192</v>
      </c>
      <c r="B300" s="5" t="s">
        <v>368</v>
      </c>
      <c r="C300" s="145">
        <f t="shared" si="22"/>
        <v>2216211.5499999998</v>
      </c>
      <c r="D300" s="145"/>
      <c r="E300" s="145"/>
      <c r="F300" s="145"/>
      <c r="G300" s="145"/>
      <c r="H300" s="145"/>
      <c r="I300" s="145"/>
      <c r="J300" s="145"/>
      <c r="K300" s="145"/>
      <c r="L300" s="145">
        <v>1022</v>
      </c>
      <c r="M300" s="145">
        <v>2216211.5499999998</v>
      </c>
      <c r="N300" s="145"/>
      <c r="O300" s="145"/>
      <c r="P300" s="145"/>
      <c r="Q300" s="145"/>
      <c r="R300" s="145"/>
      <c r="S300" s="145"/>
      <c r="T300" s="145"/>
      <c r="U300" s="145"/>
      <c r="V300" s="143"/>
      <c r="W300" s="143"/>
      <c r="X300" s="143"/>
      <c r="Y300" s="124"/>
      <c r="Z300" s="122"/>
      <c r="AA300" s="121"/>
      <c r="AB300" s="122"/>
    </row>
    <row r="301" spans="1:29" ht="17.25" customHeight="1" x14ac:dyDescent="0.25">
      <c r="A301" s="144">
        <f t="shared" si="23"/>
        <v>193</v>
      </c>
      <c r="B301" s="5" t="s">
        <v>369</v>
      </c>
      <c r="C301" s="145">
        <f t="shared" si="22"/>
        <v>725914.55</v>
      </c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3"/>
      <c r="W301" s="143">
        <v>725914.55</v>
      </c>
      <c r="X301" s="143"/>
      <c r="Y301" s="124"/>
      <c r="Z301" s="122"/>
      <c r="AA301" s="122"/>
      <c r="AB301" s="122"/>
    </row>
    <row r="302" spans="1:29" ht="17.25" customHeight="1" x14ac:dyDescent="0.25">
      <c r="A302" s="144">
        <f t="shared" si="23"/>
        <v>194</v>
      </c>
      <c r="B302" s="5" t="s">
        <v>370</v>
      </c>
      <c r="C302" s="145">
        <f t="shared" si="22"/>
        <v>2668181.64</v>
      </c>
      <c r="D302" s="145"/>
      <c r="E302" s="145"/>
      <c r="F302" s="145"/>
      <c r="G302" s="145"/>
      <c r="H302" s="145"/>
      <c r="I302" s="145"/>
      <c r="J302" s="145"/>
      <c r="K302" s="145"/>
      <c r="L302" s="145">
        <v>455</v>
      </c>
      <c r="M302" s="145">
        <v>2096820.45</v>
      </c>
      <c r="N302" s="145"/>
      <c r="O302" s="145"/>
      <c r="P302" s="145"/>
      <c r="Q302" s="145"/>
      <c r="R302" s="145"/>
      <c r="S302" s="145"/>
      <c r="T302" s="145"/>
      <c r="U302" s="145"/>
      <c r="V302" s="143"/>
      <c r="W302" s="145">
        <f>161682.95+287006.51+122671.73</f>
        <v>571361.19000000006</v>
      </c>
      <c r="X302" s="145"/>
      <c r="Y302" s="124"/>
      <c r="Z302" s="122"/>
      <c r="AA302" s="121"/>
      <c r="AB302" s="122"/>
    </row>
    <row r="303" spans="1:29" ht="17.25" customHeight="1" x14ac:dyDescent="0.25">
      <c r="A303" s="144">
        <f t="shared" si="23"/>
        <v>195</v>
      </c>
      <c r="B303" s="5" t="s">
        <v>371</v>
      </c>
      <c r="C303" s="145">
        <f t="shared" si="22"/>
        <v>814505.82</v>
      </c>
      <c r="D303" s="145"/>
      <c r="E303" s="145"/>
      <c r="F303" s="145"/>
      <c r="G303" s="145"/>
      <c r="H303" s="145"/>
      <c r="I303" s="145"/>
      <c r="J303" s="143"/>
      <c r="K303" s="145"/>
      <c r="L303" s="145"/>
      <c r="M303" s="145"/>
      <c r="N303" s="143"/>
      <c r="O303" s="145"/>
      <c r="P303" s="145"/>
      <c r="Q303" s="145"/>
      <c r="R303" s="145"/>
      <c r="S303" s="145"/>
      <c r="T303" s="145"/>
      <c r="U303" s="145"/>
      <c r="V303" s="143"/>
      <c r="W303" s="143">
        <v>814505.82</v>
      </c>
      <c r="X303" s="143"/>
      <c r="Y303" s="124"/>
      <c r="Z303" s="122"/>
      <c r="AA303" s="121"/>
      <c r="AB303" s="122"/>
    </row>
    <row r="304" spans="1:29" ht="17.25" customHeight="1" x14ac:dyDescent="0.25">
      <c r="A304" s="144">
        <f t="shared" si="23"/>
        <v>196</v>
      </c>
      <c r="B304" s="5" t="s">
        <v>372</v>
      </c>
      <c r="C304" s="145">
        <f t="shared" si="22"/>
        <v>320092.77</v>
      </c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3"/>
      <c r="W304" s="143">
        <f>192199.99+127892.78</f>
        <v>320092.77</v>
      </c>
      <c r="X304" s="143"/>
      <c r="Y304" s="124"/>
      <c r="Z304" s="122"/>
      <c r="AA304" s="121"/>
      <c r="AB304" s="122"/>
    </row>
    <row r="305" spans="1:31" ht="17.25" customHeight="1" x14ac:dyDescent="0.25">
      <c r="A305" s="203" t="s">
        <v>18</v>
      </c>
      <c r="B305" s="203"/>
      <c r="C305" s="145">
        <f>SUM(C296:C304)</f>
        <v>12772250.93</v>
      </c>
      <c r="D305" s="145"/>
      <c r="E305" s="145"/>
      <c r="F305" s="145"/>
      <c r="G305" s="145"/>
      <c r="H305" s="145"/>
      <c r="I305" s="145"/>
      <c r="J305" s="145"/>
      <c r="K305" s="145"/>
      <c r="L305" s="145">
        <f>SUM(L296:L304)</f>
        <v>3247</v>
      </c>
      <c r="M305" s="145">
        <f>SUM(M296:M304)</f>
        <v>9367020.6199999992</v>
      </c>
      <c r="N305" s="145"/>
      <c r="O305" s="145"/>
      <c r="P305" s="145"/>
      <c r="Q305" s="145"/>
      <c r="R305" s="145"/>
      <c r="S305" s="145"/>
      <c r="T305" s="145"/>
      <c r="U305" s="145"/>
      <c r="V305" s="145"/>
      <c r="W305" s="145">
        <f>SUM(W296:W304)</f>
        <v>3405230.31</v>
      </c>
      <c r="X305" s="145">
        <f>SUM(X296:X304)</f>
        <v>0</v>
      </c>
      <c r="Y305" s="124"/>
      <c r="Z305" s="122"/>
      <c r="AA305" s="122"/>
      <c r="AB305" s="122"/>
      <c r="AE305" s="123"/>
    </row>
    <row r="306" spans="1:31" ht="17.25" customHeight="1" x14ac:dyDescent="0.25">
      <c r="A306" s="188" t="s">
        <v>158</v>
      </c>
      <c r="B306" s="188"/>
      <c r="C306" s="188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24"/>
      <c r="Z306" s="122"/>
      <c r="AA306" s="121"/>
      <c r="AB306" s="122"/>
    </row>
    <row r="307" spans="1:31" ht="17.25" customHeight="1" x14ac:dyDescent="0.25">
      <c r="A307" s="144">
        <f>A304+1</f>
        <v>197</v>
      </c>
      <c r="B307" s="5" t="s">
        <v>373</v>
      </c>
      <c r="C307" s="145">
        <f>D307+K307+M307+O307+Q307+S307+U307+V307+W307+X307</f>
        <v>4824489.7799999993</v>
      </c>
      <c r="D307" s="145"/>
      <c r="E307" s="145"/>
      <c r="F307" s="145"/>
      <c r="G307" s="145"/>
      <c r="H307" s="145"/>
      <c r="I307" s="145"/>
      <c r="J307" s="143"/>
      <c r="K307" s="145"/>
      <c r="L307" s="145">
        <v>525</v>
      </c>
      <c r="M307" s="145">
        <v>2794062.32</v>
      </c>
      <c r="N307" s="143"/>
      <c r="O307" s="145"/>
      <c r="P307" s="145">
        <v>675.8</v>
      </c>
      <c r="Q307" s="145">
        <v>2030427.46</v>
      </c>
      <c r="R307" s="145"/>
      <c r="S307" s="145"/>
      <c r="T307" s="145"/>
      <c r="U307" s="145"/>
      <c r="V307" s="143"/>
      <c r="W307" s="145"/>
      <c r="X307" s="145"/>
      <c r="Y307" s="124"/>
      <c r="Z307" s="122"/>
      <c r="AA307" s="122"/>
      <c r="AB307" s="122"/>
    </row>
    <row r="308" spans="1:31" ht="17.25" customHeight="1" x14ac:dyDescent="0.25">
      <c r="A308" s="144">
        <f>A307+1</f>
        <v>198</v>
      </c>
      <c r="B308" s="5" t="s">
        <v>374</v>
      </c>
      <c r="C308" s="145">
        <f>D308+K308+M308+O308+Q308+S308+U308+V308+W308+X308</f>
        <v>2262583.85</v>
      </c>
      <c r="D308" s="145"/>
      <c r="E308" s="145"/>
      <c r="F308" s="145"/>
      <c r="G308" s="145"/>
      <c r="H308" s="145"/>
      <c r="I308" s="145"/>
      <c r="J308" s="143"/>
      <c r="K308" s="145"/>
      <c r="L308" s="145"/>
      <c r="M308" s="145"/>
      <c r="N308" s="143"/>
      <c r="O308" s="145"/>
      <c r="P308" s="145">
        <v>675.8</v>
      </c>
      <c r="Q308" s="52">
        <v>2262583.85</v>
      </c>
      <c r="R308" s="145"/>
      <c r="S308" s="145"/>
      <c r="T308" s="145"/>
      <c r="U308" s="145"/>
      <c r="V308" s="143"/>
      <c r="W308" s="145"/>
      <c r="X308" s="145"/>
      <c r="Y308" s="124"/>
      <c r="Z308" s="122"/>
      <c r="AA308" s="122"/>
      <c r="AB308" s="122"/>
    </row>
    <row r="309" spans="1:31" ht="17.25" customHeight="1" x14ac:dyDescent="0.25">
      <c r="A309" s="203" t="s">
        <v>18</v>
      </c>
      <c r="B309" s="203"/>
      <c r="C309" s="145">
        <f>SUM(C307:C308)</f>
        <v>7087073.629999999</v>
      </c>
      <c r="D309" s="145"/>
      <c r="E309" s="145"/>
      <c r="F309" s="145"/>
      <c r="G309" s="145"/>
      <c r="H309" s="145"/>
      <c r="I309" s="145"/>
      <c r="J309" s="145"/>
      <c r="K309" s="145"/>
      <c r="L309" s="145">
        <f>SUM(L307:L308)</f>
        <v>525</v>
      </c>
      <c r="M309" s="145">
        <f>SUM(M307:M308)</f>
        <v>2794062.32</v>
      </c>
      <c r="N309" s="145"/>
      <c r="O309" s="145"/>
      <c r="P309" s="145">
        <f>SUM(P307:P308)</f>
        <v>1351.6</v>
      </c>
      <c r="Q309" s="145">
        <f>SUM(Q307:Q308)</f>
        <v>4293011.3100000005</v>
      </c>
      <c r="R309" s="145"/>
      <c r="S309" s="145"/>
      <c r="T309" s="145"/>
      <c r="U309" s="145"/>
      <c r="V309" s="145"/>
      <c r="W309" s="145"/>
      <c r="X309" s="145">
        <f>SUM(X307:X308)</f>
        <v>0</v>
      </c>
      <c r="Y309" s="124"/>
      <c r="Z309" s="122"/>
      <c r="AA309" s="122"/>
      <c r="AB309" s="122"/>
      <c r="AE309" s="123"/>
    </row>
    <row r="310" spans="1:31" ht="17.25" customHeight="1" x14ac:dyDescent="0.25">
      <c r="A310" s="188" t="s">
        <v>159</v>
      </c>
      <c r="B310" s="188"/>
      <c r="C310" s="188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24"/>
      <c r="Z310" s="122"/>
      <c r="AA310" s="121"/>
      <c r="AB310" s="122"/>
    </row>
    <row r="311" spans="1:31" ht="17.25" customHeight="1" x14ac:dyDescent="0.25">
      <c r="A311" s="147">
        <f>A308+1</f>
        <v>199</v>
      </c>
      <c r="B311" s="140" t="s">
        <v>564</v>
      </c>
      <c r="C311" s="145">
        <f>D311+K311+M311+O311+Q311+S311+U311+V311+W311+X311</f>
        <v>434277.57</v>
      </c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3">
        <v>434277.57</v>
      </c>
      <c r="X311" s="142"/>
      <c r="Y311" s="129"/>
      <c r="Z311" s="122"/>
      <c r="AA311" s="121"/>
      <c r="AB311" s="122"/>
    </row>
    <row r="312" spans="1:31" ht="17.25" customHeight="1" x14ac:dyDescent="0.25">
      <c r="A312" s="147">
        <f>A311+1</f>
        <v>200</v>
      </c>
      <c r="B312" s="5" t="s">
        <v>375</v>
      </c>
      <c r="C312" s="145">
        <f>D312+K312+M312+O312+Q312+S312+U312+V312+W312+X312</f>
        <v>697674.74</v>
      </c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>
        <f>111001.01+107039.83+298258.24+181375.66</f>
        <v>697674.74</v>
      </c>
      <c r="X312" s="145"/>
      <c r="Y312" s="124"/>
      <c r="Z312" s="122"/>
      <c r="AA312" s="122"/>
      <c r="AB312" s="122"/>
    </row>
    <row r="313" spans="1:31" ht="17.25" customHeight="1" x14ac:dyDescent="0.25">
      <c r="A313" s="203" t="s">
        <v>18</v>
      </c>
      <c r="B313" s="203"/>
      <c r="C313" s="145">
        <f>SUM(C311:C312)</f>
        <v>1131952.31</v>
      </c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>
        <f>SUM(W311:W312)</f>
        <v>1131952.31</v>
      </c>
      <c r="X313" s="145"/>
      <c r="Y313" s="124"/>
      <c r="Z313" s="122"/>
      <c r="AA313" s="122"/>
      <c r="AB313" s="122"/>
    </row>
    <row r="314" spans="1:31" ht="17.25" customHeight="1" x14ac:dyDescent="0.25">
      <c r="A314" s="188" t="s">
        <v>160</v>
      </c>
      <c r="B314" s="188"/>
      <c r="C314" s="188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24"/>
      <c r="Z314" s="122"/>
      <c r="AA314" s="121"/>
      <c r="AB314" s="122"/>
    </row>
    <row r="315" spans="1:31" ht="17.25" customHeight="1" x14ac:dyDescent="0.25">
      <c r="A315" s="147">
        <f>A312+1</f>
        <v>201</v>
      </c>
      <c r="B315" s="5" t="s">
        <v>376</v>
      </c>
      <c r="C315" s="145">
        <f>D315+K315+M315+O315+Q315+S315+U315+V315+W315+X315</f>
        <v>2049689.2400000002</v>
      </c>
      <c r="D315" s="145">
        <f>E315+F315+G315+H315+I315</f>
        <v>786742.13</v>
      </c>
      <c r="E315" s="145"/>
      <c r="F315" s="145">
        <v>487631.44</v>
      </c>
      <c r="G315" s="82">
        <v>153339.81</v>
      </c>
      <c r="H315" s="145"/>
      <c r="I315" s="145">
        <v>145770.88</v>
      </c>
      <c r="J315" s="145"/>
      <c r="K315" s="145"/>
      <c r="L315" s="145"/>
      <c r="M315" s="145"/>
      <c r="N315" s="145"/>
      <c r="O315" s="145"/>
      <c r="P315" s="145">
        <v>480</v>
      </c>
      <c r="Q315" s="145">
        <v>1262947.1100000001</v>
      </c>
      <c r="R315" s="145"/>
      <c r="S315" s="145"/>
      <c r="T315" s="145"/>
      <c r="U315" s="145"/>
      <c r="V315" s="145"/>
      <c r="W315" s="145"/>
      <c r="X315" s="145"/>
      <c r="Y315" s="124"/>
      <c r="Z315" s="122"/>
      <c r="AA315" s="122"/>
      <c r="AB315" s="122"/>
    </row>
    <row r="316" spans="1:31" ht="17.25" customHeight="1" x14ac:dyDescent="0.25">
      <c r="A316" s="203" t="s">
        <v>18</v>
      </c>
      <c r="B316" s="203"/>
      <c r="C316" s="145">
        <f>SUM(C315:C315)</f>
        <v>2049689.2400000002</v>
      </c>
      <c r="D316" s="145">
        <f>SUM(D315:D315)</f>
        <v>786742.13</v>
      </c>
      <c r="E316" s="145">
        <f>SUM(E315:E315)</f>
        <v>0</v>
      </c>
      <c r="F316" s="145">
        <f>SUM(F315:F315)</f>
        <v>487631.44</v>
      </c>
      <c r="G316" s="145">
        <f>SUM(G315:G315)</f>
        <v>153339.81</v>
      </c>
      <c r="H316" s="145"/>
      <c r="I316" s="145">
        <f>SUM(I315:I315)</f>
        <v>145770.88</v>
      </c>
      <c r="J316" s="145"/>
      <c r="K316" s="145"/>
      <c r="L316" s="145">
        <f>SUM(L315:L315)</f>
        <v>0</v>
      </c>
      <c r="M316" s="145">
        <f>SUM(M315:M315)</f>
        <v>0</v>
      </c>
      <c r="N316" s="145"/>
      <c r="O316" s="145"/>
      <c r="P316" s="145">
        <f>SUM(P315:P315)</f>
        <v>480</v>
      </c>
      <c r="Q316" s="145">
        <f>SUM(Q315:Q315)</f>
        <v>1262947.1100000001</v>
      </c>
      <c r="R316" s="145"/>
      <c r="S316" s="145"/>
      <c r="T316" s="145"/>
      <c r="U316" s="145"/>
      <c r="V316" s="145"/>
      <c r="W316" s="145"/>
      <c r="X316" s="145">
        <f>SUM(X315:X315)</f>
        <v>0</v>
      </c>
      <c r="Y316" s="124"/>
      <c r="Z316" s="122"/>
      <c r="AA316" s="122"/>
      <c r="AB316" s="122"/>
      <c r="AE316" s="123"/>
    </row>
    <row r="317" spans="1:31" ht="17.25" customHeight="1" x14ac:dyDescent="0.25">
      <c r="A317" s="189" t="s">
        <v>161</v>
      </c>
      <c r="B317" s="189"/>
      <c r="C317" s="189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24"/>
      <c r="Z317" s="122"/>
      <c r="AA317" s="121"/>
      <c r="AB317" s="122"/>
    </row>
    <row r="318" spans="1:31" ht="17.25" customHeight="1" x14ac:dyDescent="0.25">
      <c r="A318" s="144">
        <f>A315+1</f>
        <v>202</v>
      </c>
      <c r="B318" s="5" t="s">
        <v>377</v>
      </c>
      <c r="C318" s="145">
        <f>D318+K318+M318+O318+Q318+S318+U318+V318+W318+X318</f>
        <v>2267927.83</v>
      </c>
      <c r="D318" s="145"/>
      <c r="E318" s="145"/>
      <c r="F318" s="145"/>
      <c r="G318" s="145"/>
      <c r="H318" s="145"/>
      <c r="I318" s="145"/>
      <c r="J318" s="145"/>
      <c r="K318" s="145"/>
      <c r="L318" s="145">
        <v>1036</v>
      </c>
      <c r="M318" s="145">
        <v>2267927.83</v>
      </c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24"/>
      <c r="Z318" s="122"/>
      <c r="AA318" s="121"/>
      <c r="AB318" s="122"/>
    </row>
    <row r="319" spans="1:31" ht="17.25" customHeight="1" x14ac:dyDescent="0.25">
      <c r="A319" s="144">
        <f>A318+1</f>
        <v>203</v>
      </c>
      <c r="B319" s="5" t="s">
        <v>378</v>
      </c>
      <c r="C319" s="145">
        <f>D319+K319+M319+O319+Q319+S319+U319+V319+W319+X319</f>
        <v>2450477.5300000003</v>
      </c>
      <c r="D319" s="145"/>
      <c r="E319" s="145"/>
      <c r="F319" s="145"/>
      <c r="G319" s="145"/>
      <c r="H319" s="145"/>
      <c r="I319" s="145"/>
      <c r="J319" s="145"/>
      <c r="K319" s="145"/>
      <c r="L319" s="145">
        <v>1036</v>
      </c>
      <c r="M319" s="145">
        <v>2034193.53</v>
      </c>
      <c r="N319" s="145"/>
      <c r="O319" s="145"/>
      <c r="P319" s="145"/>
      <c r="Q319" s="145"/>
      <c r="R319" s="145"/>
      <c r="S319" s="145"/>
      <c r="T319" s="145"/>
      <c r="U319" s="145"/>
      <c r="V319" s="145"/>
      <c r="W319" s="145">
        <v>416284</v>
      </c>
      <c r="X319" s="145"/>
      <c r="Y319" s="124"/>
      <c r="Z319" s="122"/>
      <c r="AA319" s="121"/>
      <c r="AB319" s="122"/>
    </row>
    <row r="320" spans="1:31" ht="17.25" customHeight="1" x14ac:dyDescent="0.25">
      <c r="A320" s="203" t="s">
        <v>18</v>
      </c>
      <c r="B320" s="203"/>
      <c r="C320" s="145">
        <f>SUM(C318:C319)</f>
        <v>4718405.3600000003</v>
      </c>
      <c r="D320" s="145"/>
      <c r="E320" s="145"/>
      <c r="F320" s="145"/>
      <c r="G320" s="145"/>
      <c r="H320" s="145"/>
      <c r="I320" s="145"/>
      <c r="J320" s="145"/>
      <c r="K320" s="145"/>
      <c r="L320" s="145">
        <f>SUM(L318:L319)</f>
        <v>2072</v>
      </c>
      <c r="M320" s="145">
        <f>SUM(M318:M319)</f>
        <v>4302121.3600000003</v>
      </c>
      <c r="N320" s="145"/>
      <c r="O320" s="145"/>
      <c r="P320" s="145"/>
      <c r="Q320" s="145"/>
      <c r="R320" s="145"/>
      <c r="S320" s="145"/>
      <c r="T320" s="145"/>
      <c r="U320" s="145"/>
      <c r="V320" s="145"/>
      <c r="W320" s="145">
        <f>SUM(W318:W319)</f>
        <v>416284</v>
      </c>
      <c r="X320" s="145">
        <f>SUM(X318:X319)</f>
        <v>0</v>
      </c>
      <c r="Y320" s="124"/>
      <c r="Z320" s="122"/>
      <c r="AA320" s="122"/>
      <c r="AB320" s="122"/>
      <c r="AE320" s="123"/>
    </row>
    <row r="321" spans="1:31" ht="17.25" customHeight="1" x14ac:dyDescent="0.25">
      <c r="A321" s="188" t="s">
        <v>162</v>
      </c>
      <c r="B321" s="188"/>
      <c r="C321" s="188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24"/>
      <c r="Z321" s="122"/>
      <c r="AA321" s="121"/>
      <c r="AB321" s="122"/>
    </row>
    <row r="322" spans="1:31" ht="17.25" customHeight="1" x14ac:dyDescent="0.25">
      <c r="A322" s="147">
        <f>A319+1</f>
        <v>204</v>
      </c>
      <c r="B322" s="5" t="s">
        <v>379</v>
      </c>
      <c r="C322" s="145">
        <f>D322+K322+M322+O322+Q322+S322+U322+V322+W322+X322</f>
        <v>3639282.87</v>
      </c>
      <c r="D322" s="145">
        <f>E322+F322+G322+H322+I322</f>
        <v>0</v>
      </c>
      <c r="E322" s="145"/>
      <c r="F322" s="145"/>
      <c r="G322" s="145"/>
      <c r="H322" s="145"/>
      <c r="I322" s="145"/>
      <c r="J322" s="145"/>
      <c r="K322" s="145"/>
      <c r="L322" s="145">
        <v>1235</v>
      </c>
      <c r="M322" s="145">
        <v>2046843.36</v>
      </c>
      <c r="N322" s="145"/>
      <c r="O322" s="145"/>
      <c r="P322" s="145"/>
      <c r="Q322" s="145"/>
      <c r="R322" s="145"/>
      <c r="S322" s="145"/>
      <c r="T322" s="145"/>
      <c r="U322" s="145"/>
      <c r="V322" s="145"/>
      <c r="W322" s="145">
        <f>1149786.43+442653.08</f>
        <v>1592439.51</v>
      </c>
      <c r="X322" s="145"/>
      <c r="Y322" s="124"/>
      <c r="Z322" s="122"/>
      <c r="AA322" s="122"/>
      <c r="AB322" s="122"/>
    </row>
    <row r="323" spans="1:31" ht="17.25" customHeight="1" x14ac:dyDescent="0.25">
      <c r="A323" s="203" t="s">
        <v>18</v>
      </c>
      <c r="B323" s="203"/>
      <c r="C323" s="145">
        <f>SUM(C322)</f>
        <v>3639282.87</v>
      </c>
      <c r="D323" s="145">
        <f>SUM(D322)</f>
        <v>0</v>
      </c>
      <c r="E323" s="145">
        <f>SUM(E322)</f>
        <v>0</v>
      </c>
      <c r="F323" s="145"/>
      <c r="G323" s="145"/>
      <c r="H323" s="145"/>
      <c r="I323" s="145"/>
      <c r="J323" s="145"/>
      <c r="K323" s="145"/>
      <c r="L323" s="145">
        <f>SUM(L322)</f>
        <v>1235</v>
      </c>
      <c r="M323" s="145">
        <f>SUM(M322)</f>
        <v>2046843.36</v>
      </c>
      <c r="N323" s="145"/>
      <c r="O323" s="145"/>
      <c r="P323" s="145"/>
      <c r="Q323" s="145"/>
      <c r="R323" s="145"/>
      <c r="S323" s="145"/>
      <c r="T323" s="145"/>
      <c r="U323" s="145"/>
      <c r="V323" s="145"/>
      <c r="W323" s="145">
        <f>SUM(W322)</f>
        <v>1592439.51</v>
      </c>
      <c r="X323" s="145">
        <f>SUM(X322)</f>
        <v>0</v>
      </c>
      <c r="Y323" s="124"/>
      <c r="Z323" s="122"/>
      <c r="AA323" s="122"/>
      <c r="AB323" s="122"/>
      <c r="AE323" s="123"/>
    </row>
    <row r="324" spans="1:31" ht="17.25" customHeight="1" x14ac:dyDescent="0.25">
      <c r="A324" s="188" t="s">
        <v>163</v>
      </c>
      <c r="B324" s="188"/>
      <c r="C324" s="188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24"/>
      <c r="Z324" s="122"/>
      <c r="AA324" s="121"/>
      <c r="AB324" s="122"/>
    </row>
    <row r="325" spans="1:31" ht="17.25" customHeight="1" x14ac:dyDescent="0.25">
      <c r="A325" s="147">
        <f>A322+1</f>
        <v>205</v>
      </c>
      <c r="B325" s="5" t="s">
        <v>380</v>
      </c>
      <c r="C325" s="145">
        <f>D325+K325+M325+O325+Q325+S325+U325+V325+W325+X325</f>
        <v>158636.72</v>
      </c>
      <c r="D325" s="145"/>
      <c r="E325" s="145"/>
      <c r="F325" s="145"/>
      <c r="G325" s="145"/>
      <c r="H325" s="145"/>
      <c r="I325" s="145"/>
      <c r="J325" s="145"/>
      <c r="K325" s="143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>
        <v>158636.72</v>
      </c>
      <c r="X325" s="145"/>
      <c r="Y325" s="124"/>
      <c r="Z325" s="122"/>
      <c r="AA325" s="121"/>
      <c r="AB325" s="122"/>
    </row>
    <row r="326" spans="1:31" ht="17.25" customHeight="1" x14ac:dyDescent="0.25">
      <c r="A326" s="203" t="s">
        <v>18</v>
      </c>
      <c r="B326" s="203"/>
      <c r="C326" s="145">
        <f>SUM(C325)</f>
        <v>158636.72</v>
      </c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>
        <f>SUM(W325)</f>
        <v>158636.72</v>
      </c>
      <c r="X326" s="145"/>
      <c r="Y326" s="124"/>
      <c r="Z326" s="122"/>
      <c r="AA326" s="122"/>
      <c r="AB326" s="122"/>
    </row>
    <row r="327" spans="1:31" ht="17.25" customHeight="1" x14ac:dyDescent="0.25">
      <c r="A327" s="188" t="s">
        <v>164</v>
      </c>
      <c r="B327" s="188"/>
      <c r="C327" s="188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24"/>
      <c r="Z327" s="122"/>
      <c r="AA327" s="121"/>
      <c r="AB327" s="122"/>
    </row>
    <row r="328" spans="1:31" ht="17.25" customHeight="1" x14ac:dyDescent="0.25">
      <c r="A328" s="147">
        <f>A325+1</f>
        <v>206</v>
      </c>
      <c r="B328" s="5" t="s">
        <v>381</v>
      </c>
      <c r="C328" s="145">
        <f>D328+K328+M328+O328+Q328+S328+U328+V328+W328+X328</f>
        <v>795184.82</v>
      </c>
      <c r="D328" s="145"/>
      <c r="E328" s="145"/>
      <c r="F328" s="145"/>
      <c r="G328" s="145"/>
      <c r="H328" s="145"/>
      <c r="I328" s="145"/>
      <c r="J328" s="145"/>
      <c r="K328" s="145"/>
      <c r="L328" s="145">
        <v>354</v>
      </c>
      <c r="M328" s="145">
        <v>795184.82</v>
      </c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24"/>
      <c r="Z328" s="122"/>
      <c r="AA328" s="121"/>
      <c r="AB328" s="122"/>
    </row>
    <row r="329" spans="1:31" ht="17.25" customHeight="1" x14ac:dyDescent="0.25">
      <c r="A329" s="147">
        <f>A328+1</f>
        <v>207</v>
      </c>
      <c r="B329" s="5" t="s">
        <v>382</v>
      </c>
      <c r="C329" s="145">
        <f>D329+K329+M329+O329+Q329+S329+U329+V329+W329+X329</f>
        <v>2417950.0700000003</v>
      </c>
      <c r="D329" s="145"/>
      <c r="E329" s="145"/>
      <c r="F329" s="145"/>
      <c r="G329" s="145"/>
      <c r="H329" s="145"/>
      <c r="I329" s="145"/>
      <c r="J329" s="145"/>
      <c r="K329" s="145"/>
      <c r="L329" s="145">
        <v>385</v>
      </c>
      <c r="M329" s="145">
        <v>1069375.73</v>
      </c>
      <c r="N329" s="145"/>
      <c r="O329" s="145"/>
      <c r="P329" s="145">
        <v>540</v>
      </c>
      <c r="Q329" s="145">
        <v>1348574.34</v>
      </c>
      <c r="R329" s="145"/>
      <c r="S329" s="145"/>
      <c r="T329" s="145"/>
      <c r="U329" s="145"/>
      <c r="V329" s="145"/>
      <c r="W329" s="145"/>
      <c r="X329" s="145"/>
      <c r="Y329" s="124"/>
      <c r="Z329" s="122"/>
      <c r="AA329" s="122"/>
      <c r="AB329" s="122"/>
    </row>
    <row r="330" spans="1:31" ht="17.25" customHeight="1" x14ac:dyDescent="0.25">
      <c r="A330" s="203" t="s">
        <v>18</v>
      </c>
      <c r="B330" s="203"/>
      <c r="C330" s="145">
        <f>SUM(C328:C329)</f>
        <v>3213134.89</v>
      </c>
      <c r="D330" s="145"/>
      <c r="E330" s="145"/>
      <c r="F330" s="145"/>
      <c r="G330" s="145"/>
      <c r="H330" s="145"/>
      <c r="I330" s="145"/>
      <c r="J330" s="145"/>
      <c r="K330" s="145"/>
      <c r="L330" s="145">
        <f>SUM(L328:L329)</f>
        <v>739</v>
      </c>
      <c r="M330" s="145">
        <f>SUM(M328:M329)</f>
        <v>1864560.5499999998</v>
      </c>
      <c r="N330" s="145"/>
      <c r="O330" s="145"/>
      <c r="P330" s="145">
        <f>SUM(P328:P329)</f>
        <v>540</v>
      </c>
      <c r="Q330" s="145">
        <f>SUM(Q328:Q329)</f>
        <v>1348574.34</v>
      </c>
      <c r="R330" s="145"/>
      <c r="S330" s="145"/>
      <c r="T330" s="145"/>
      <c r="U330" s="145"/>
      <c r="V330" s="145"/>
      <c r="W330" s="145"/>
      <c r="X330" s="145"/>
      <c r="Y330" s="124"/>
      <c r="Z330" s="122"/>
      <c r="AA330" s="122"/>
      <c r="AB330" s="122"/>
      <c r="AE330" s="123"/>
    </row>
    <row r="331" spans="1:31" ht="17.25" customHeight="1" x14ac:dyDescent="0.25">
      <c r="A331" s="188" t="s">
        <v>165</v>
      </c>
      <c r="B331" s="188"/>
      <c r="C331" s="149">
        <f>SUM(C330+C326+C323+C320+C316+C313+C309+C305)</f>
        <v>34770425.950000003</v>
      </c>
      <c r="D331" s="149">
        <f>SUM(D330+D326+D323+D320+D316+D313+D309+D305)</f>
        <v>786742.13</v>
      </c>
      <c r="E331" s="149">
        <f>SUM(E330+E326+E323+E320+E316+E313+E309+E305)</f>
        <v>0</v>
      </c>
      <c r="F331" s="149">
        <f>SUM(F330+F326+F323+F320+F316+F313+F309+F305)</f>
        <v>487631.44</v>
      </c>
      <c r="G331" s="149">
        <f>SUM(G330+G326+G323+G320+G316+G313+G309+G305)</f>
        <v>153339.81</v>
      </c>
      <c r="H331" s="149"/>
      <c r="I331" s="149">
        <f>SUM(I330+I326+I323+I320+I316+I313+I309+I305)</f>
        <v>145770.88</v>
      </c>
      <c r="J331" s="149"/>
      <c r="K331" s="149"/>
      <c r="L331" s="149">
        <f>SUM(L330+L326+L323+L320+L316+L313+L309+L305)</f>
        <v>7818</v>
      </c>
      <c r="M331" s="149">
        <f>SUM(M330+M326+M323+M320+M316+M313+M309+M305)</f>
        <v>20374608.210000001</v>
      </c>
      <c r="N331" s="149"/>
      <c r="O331" s="149"/>
      <c r="P331" s="149">
        <f>SUM(P330+P326+P323+P320+P316+P313+P309+P305)</f>
        <v>2371.6</v>
      </c>
      <c r="Q331" s="149">
        <f>SUM(Q330+Q326+Q323+Q320+Q316+Q313+Q309+Q305)</f>
        <v>6904532.7600000007</v>
      </c>
      <c r="R331" s="149"/>
      <c r="S331" s="149"/>
      <c r="T331" s="149"/>
      <c r="U331" s="149"/>
      <c r="V331" s="149"/>
      <c r="W331" s="149">
        <f>SUM(W330+W326+W323+W320+W316+W313+W309+W305)</f>
        <v>6704542.8499999996</v>
      </c>
      <c r="X331" s="149">
        <f>SUM(X330+X326+X323+X320+X316+X313+X309+X305)</f>
        <v>0</v>
      </c>
      <c r="Y331" s="124"/>
      <c r="Z331" s="122"/>
      <c r="AA331" s="122"/>
      <c r="AB331" s="122"/>
    </row>
    <row r="332" spans="1:31" ht="12.75" customHeight="1" x14ac:dyDescent="0.25">
      <c r="A332" s="204" t="s">
        <v>60</v>
      </c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124"/>
      <c r="Z332" s="122"/>
      <c r="AB332" s="122"/>
    </row>
    <row r="333" spans="1:31" ht="18" customHeight="1" x14ac:dyDescent="0.25">
      <c r="A333" s="188" t="s">
        <v>61</v>
      </c>
      <c r="B333" s="188"/>
      <c r="C333" s="188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24"/>
      <c r="Z333" s="122"/>
      <c r="AB333" s="122"/>
    </row>
    <row r="334" spans="1:31" ht="18" customHeight="1" x14ac:dyDescent="0.25">
      <c r="A334" s="147">
        <f>A329+1</f>
        <v>208</v>
      </c>
      <c r="B334" s="5" t="s">
        <v>62</v>
      </c>
      <c r="C334" s="145">
        <f t="shared" ref="C334:C347" si="24">D334+K334+M334+O334+Q334+S334+U334+V334+W334+X334</f>
        <v>21825156.900000002</v>
      </c>
      <c r="D334" s="145"/>
      <c r="E334" s="145"/>
      <c r="F334" s="145"/>
      <c r="G334" s="145"/>
      <c r="H334" s="145"/>
      <c r="I334" s="145"/>
      <c r="J334" s="145"/>
      <c r="K334" s="145"/>
      <c r="L334" s="145">
        <v>1455.3</v>
      </c>
      <c r="M334" s="145">
        <v>4929726.54</v>
      </c>
      <c r="N334" s="145"/>
      <c r="O334" s="145"/>
      <c r="P334" s="145"/>
      <c r="Q334" s="145"/>
      <c r="R334" s="145"/>
      <c r="S334" s="145"/>
      <c r="T334" s="145">
        <v>3724</v>
      </c>
      <c r="U334" s="145">
        <v>16308972.130000001</v>
      </c>
      <c r="V334" s="145"/>
      <c r="W334" s="145">
        <v>586458.23</v>
      </c>
      <c r="X334" s="145"/>
      <c r="Y334" s="124"/>
      <c r="Z334" s="122"/>
      <c r="AB334" s="122"/>
    </row>
    <row r="335" spans="1:31" ht="18" customHeight="1" x14ac:dyDescent="0.25">
      <c r="A335" s="147">
        <f t="shared" ref="A335:A347" si="25">A334+1</f>
        <v>209</v>
      </c>
      <c r="B335" s="148" t="s">
        <v>592</v>
      </c>
      <c r="C335" s="145">
        <f t="shared" si="24"/>
        <v>816551</v>
      </c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>
        <v>816551</v>
      </c>
      <c r="X335" s="143"/>
      <c r="Y335" s="124"/>
      <c r="Z335" s="122"/>
      <c r="AB335" s="122"/>
    </row>
    <row r="336" spans="1:31" ht="18" customHeight="1" x14ac:dyDescent="0.25">
      <c r="A336" s="147">
        <f t="shared" si="25"/>
        <v>210</v>
      </c>
      <c r="B336" s="5" t="s">
        <v>63</v>
      </c>
      <c r="C336" s="145">
        <f t="shared" si="24"/>
        <v>4096431.03</v>
      </c>
      <c r="D336" s="145"/>
      <c r="E336" s="145"/>
      <c r="F336" s="145"/>
      <c r="G336" s="145"/>
      <c r="H336" s="145"/>
      <c r="I336" s="145"/>
      <c r="J336" s="145"/>
      <c r="K336" s="145"/>
      <c r="L336" s="145">
        <v>1131.5999999999999</v>
      </c>
      <c r="M336" s="145">
        <v>4096431.03</v>
      </c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24"/>
      <c r="Z336" s="122"/>
      <c r="AB336" s="122"/>
    </row>
    <row r="337" spans="1:31" ht="18" customHeight="1" x14ac:dyDescent="0.25">
      <c r="A337" s="147">
        <f t="shared" si="25"/>
        <v>211</v>
      </c>
      <c r="B337" s="5" t="s">
        <v>383</v>
      </c>
      <c r="C337" s="145">
        <f t="shared" si="24"/>
        <v>3390578.59</v>
      </c>
      <c r="D337" s="145"/>
      <c r="E337" s="145"/>
      <c r="F337" s="145"/>
      <c r="G337" s="145"/>
      <c r="H337" s="145"/>
      <c r="I337" s="145"/>
      <c r="J337" s="145"/>
      <c r="K337" s="143"/>
      <c r="L337" s="145"/>
      <c r="M337" s="145"/>
      <c r="N337" s="145"/>
      <c r="O337" s="145"/>
      <c r="P337" s="145"/>
      <c r="Q337" s="145"/>
      <c r="R337" s="145"/>
      <c r="S337" s="145"/>
      <c r="T337" s="145">
        <v>1162.9100000000001</v>
      </c>
      <c r="U337" s="145">
        <v>3390578.59</v>
      </c>
      <c r="V337" s="145"/>
      <c r="W337" s="145"/>
      <c r="X337" s="145"/>
      <c r="Y337" s="124"/>
      <c r="Z337" s="122"/>
      <c r="AA337" s="122"/>
      <c r="AB337" s="122"/>
    </row>
    <row r="338" spans="1:31" ht="18" customHeight="1" x14ac:dyDescent="0.25">
      <c r="A338" s="147">
        <f t="shared" si="25"/>
        <v>212</v>
      </c>
      <c r="B338" s="5" t="s">
        <v>384</v>
      </c>
      <c r="C338" s="145">
        <f t="shared" si="24"/>
        <v>5285505</v>
      </c>
      <c r="D338" s="145"/>
      <c r="E338" s="145"/>
      <c r="F338" s="145"/>
      <c r="G338" s="145"/>
      <c r="H338" s="145"/>
      <c r="I338" s="145"/>
      <c r="J338" s="145"/>
      <c r="K338" s="145"/>
      <c r="L338" s="145">
        <v>2189.94</v>
      </c>
      <c r="M338" s="145">
        <v>5285505</v>
      </c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24"/>
      <c r="Z338" s="122"/>
      <c r="AB338" s="122"/>
    </row>
    <row r="339" spans="1:31" ht="18" customHeight="1" x14ac:dyDescent="0.25">
      <c r="A339" s="147">
        <f t="shared" si="25"/>
        <v>213</v>
      </c>
      <c r="B339" s="5" t="s">
        <v>385</v>
      </c>
      <c r="C339" s="145">
        <f t="shared" si="24"/>
        <v>4520645.17</v>
      </c>
      <c r="D339" s="145"/>
      <c r="E339" s="145"/>
      <c r="F339" s="145"/>
      <c r="G339" s="145"/>
      <c r="H339" s="145"/>
      <c r="I339" s="145"/>
      <c r="J339" s="145"/>
      <c r="K339" s="145"/>
      <c r="L339" s="145">
        <v>1448.9</v>
      </c>
      <c r="M339" s="145">
        <v>4168961.39</v>
      </c>
      <c r="N339" s="145"/>
      <c r="O339" s="145"/>
      <c r="P339" s="145"/>
      <c r="Q339" s="145"/>
      <c r="R339" s="145"/>
      <c r="S339" s="145"/>
      <c r="T339" s="145"/>
      <c r="U339" s="145"/>
      <c r="V339" s="145"/>
      <c r="W339" s="145">
        <v>351683.78</v>
      </c>
      <c r="X339" s="145"/>
      <c r="Y339" s="124"/>
      <c r="Z339" s="122"/>
      <c r="AB339" s="122"/>
    </row>
    <row r="340" spans="1:31" ht="18" customHeight="1" x14ac:dyDescent="0.25">
      <c r="A340" s="147">
        <f t="shared" si="25"/>
        <v>214</v>
      </c>
      <c r="B340" s="5" t="s">
        <v>386</v>
      </c>
      <c r="C340" s="145">
        <f t="shared" si="24"/>
        <v>2991400.56</v>
      </c>
      <c r="D340" s="145"/>
      <c r="E340" s="145"/>
      <c r="F340" s="145"/>
      <c r="G340" s="145"/>
      <c r="H340" s="145"/>
      <c r="I340" s="145"/>
      <c r="J340" s="145"/>
      <c r="K340" s="145"/>
      <c r="L340" s="145">
        <v>871.68</v>
      </c>
      <c r="M340" s="145">
        <v>2991400.56</v>
      </c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24"/>
      <c r="Z340" s="122"/>
      <c r="AB340" s="122"/>
    </row>
    <row r="341" spans="1:31" ht="18" customHeight="1" x14ac:dyDescent="0.25">
      <c r="A341" s="147">
        <f t="shared" si="25"/>
        <v>215</v>
      </c>
      <c r="B341" s="5" t="s">
        <v>387</v>
      </c>
      <c r="C341" s="145">
        <f t="shared" si="24"/>
        <v>5228833.07</v>
      </c>
      <c r="D341" s="145"/>
      <c r="E341" s="145"/>
      <c r="F341" s="145"/>
      <c r="G341" s="145"/>
      <c r="H341" s="145"/>
      <c r="I341" s="145"/>
      <c r="J341" s="145"/>
      <c r="K341" s="145"/>
      <c r="L341" s="145">
        <v>1336.4</v>
      </c>
      <c r="M341" s="145">
        <v>4767708.4000000004</v>
      </c>
      <c r="N341" s="145"/>
      <c r="O341" s="145"/>
      <c r="P341" s="145"/>
      <c r="Q341" s="145"/>
      <c r="R341" s="145"/>
      <c r="S341" s="145"/>
      <c r="T341" s="145"/>
      <c r="U341" s="145"/>
      <c r="V341" s="145"/>
      <c r="W341" s="145">
        <v>461124.67</v>
      </c>
      <c r="X341" s="145"/>
      <c r="Y341" s="124"/>
      <c r="Z341" s="122"/>
      <c r="AB341" s="122"/>
    </row>
    <row r="342" spans="1:31" ht="18" customHeight="1" x14ac:dyDescent="0.25">
      <c r="A342" s="147">
        <f t="shared" si="25"/>
        <v>216</v>
      </c>
      <c r="B342" s="5" t="s">
        <v>388</v>
      </c>
      <c r="C342" s="145">
        <f t="shared" si="24"/>
        <v>6124914.9000000004</v>
      </c>
      <c r="D342" s="145"/>
      <c r="E342" s="145"/>
      <c r="F342" s="145"/>
      <c r="G342" s="145"/>
      <c r="H342" s="145"/>
      <c r="I342" s="145"/>
      <c r="J342" s="145"/>
      <c r="K342" s="145"/>
      <c r="L342" s="145">
        <v>1748.7</v>
      </c>
      <c r="M342" s="145">
        <v>6124914.9000000004</v>
      </c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24"/>
      <c r="Z342" s="122"/>
      <c r="AB342" s="122"/>
    </row>
    <row r="343" spans="1:31" ht="18" customHeight="1" x14ac:dyDescent="0.25">
      <c r="A343" s="147">
        <f t="shared" si="25"/>
        <v>217</v>
      </c>
      <c r="B343" s="5" t="s">
        <v>64</v>
      </c>
      <c r="C343" s="145">
        <f t="shared" si="24"/>
        <v>5250897.68</v>
      </c>
      <c r="D343" s="145"/>
      <c r="E343" s="145"/>
      <c r="F343" s="145"/>
      <c r="G343" s="145"/>
      <c r="H343" s="145"/>
      <c r="I343" s="145"/>
      <c r="J343" s="145"/>
      <c r="K343" s="145"/>
      <c r="L343" s="145">
        <v>2101.3000000000002</v>
      </c>
      <c r="M343" s="145">
        <v>5250897.68</v>
      </c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24"/>
      <c r="Z343" s="122"/>
      <c r="AB343" s="122"/>
    </row>
    <row r="344" spans="1:31" ht="18" customHeight="1" x14ac:dyDescent="0.25">
      <c r="A344" s="147">
        <f t="shared" si="25"/>
        <v>218</v>
      </c>
      <c r="B344" s="5" t="s">
        <v>389</v>
      </c>
      <c r="C344" s="145">
        <f t="shared" si="24"/>
        <v>911995.65</v>
      </c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>
        <v>911995.65</v>
      </c>
      <c r="X344" s="145"/>
      <c r="Y344" s="124"/>
      <c r="Z344" s="122"/>
      <c r="AB344" s="122"/>
    </row>
    <row r="345" spans="1:31" ht="18" customHeight="1" x14ac:dyDescent="0.25">
      <c r="A345" s="147">
        <f t="shared" si="25"/>
        <v>219</v>
      </c>
      <c r="B345" s="5" t="s">
        <v>390</v>
      </c>
      <c r="C345" s="145">
        <f t="shared" si="24"/>
        <v>1350959.92</v>
      </c>
      <c r="D345" s="145"/>
      <c r="E345" s="145"/>
      <c r="F345" s="145"/>
      <c r="G345" s="145"/>
      <c r="H345" s="145"/>
      <c r="I345" s="145"/>
      <c r="J345" s="145"/>
      <c r="K345" s="143"/>
      <c r="L345" s="145"/>
      <c r="M345" s="145"/>
      <c r="N345" s="145"/>
      <c r="O345" s="145"/>
      <c r="P345" s="145">
        <v>686</v>
      </c>
      <c r="Q345" s="145">
        <v>1350959.92</v>
      </c>
      <c r="R345" s="145"/>
      <c r="S345" s="145"/>
      <c r="T345" s="145"/>
      <c r="U345" s="145"/>
      <c r="V345" s="145"/>
      <c r="W345" s="145"/>
      <c r="X345" s="145"/>
      <c r="Y345" s="124"/>
      <c r="Z345" s="122"/>
      <c r="AA345" s="122"/>
      <c r="AB345" s="122"/>
    </row>
    <row r="346" spans="1:31" ht="18" customHeight="1" x14ac:dyDescent="0.25">
      <c r="A346" s="147">
        <f t="shared" si="25"/>
        <v>220</v>
      </c>
      <c r="B346" s="5" t="s">
        <v>391</v>
      </c>
      <c r="C346" s="145">
        <f t="shared" si="24"/>
        <v>4270682.8</v>
      </c>
      <c r="D346" s="145"/>
      <c r="E346" s="145"/>
      <c r="F346" s="145"/>
      <c r="G346" s="145"/>
      <c r="H346" s="145"/>
      <c r="I346" s="145"/>
      <c r="J346" s="145"/>
      <c r="K346" s="145"/>
      <c r="L346" s="145">
        <v>1432.14</v>
      </c>
      <c r="M346" s="145">
        <v>4270682.8</v>
      </c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24"/>
      <c r="Z346" s="122"/>
      <c r="AB346" s="122"/>
    </row>
    <row r="347" spans="1:31" ht="18" customHeight="1" x14ac:dyDescent="0.25">
      <c r="A347" s="147">
        <f t="shared" si="25"/>
        <v>221</v>
      </c>
      <c r="B347" s="5" t="s">
        <v>392</v>
      </c>
      <c r="C347" s="145">
        <f t="shared" si="24"/>
        <v>4091536.51</v>
      </c>
      <c r="D347" s="145"/>
      <c r="E347" s="145"/>
      <c r="F347" s="145"/>
      <c r="G347" s="145"/>
      <c r="H347" s="145"/>
      <c r="I347" s="145"/>
      <c r="J347" s="145"/>
      <c r="K347" s="145"/>
      <c r="L347" s="145">
        <v>1410.76</v>
      </c>
      <c r="M347" s="145">
        <v>4091536.51</v>
      </c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24"/>
      <c r="Z347" s="122"/>
      <c r="AB347" s="122"/>
    </row>
    <row r="348" spans="1:31" ht="18" customHeight="1" x14ac:dyDescent="0.25">
      <c r="A348" s="203" t="s">
        <v>18</v>
      </c>
      <c r="B348" s="203"/>
      <c r="C348" s="145">
        <f>SUM(C334:C347)</f>
        <v>70156088.780000001</v>
      </c>
      <c r="D348" s="145"/>
      <c r="E348" s="145"/>
      <c r="F348" s="145"/>
      <c r="G348" s="145"/>
      <c r="H348" s="145"/>
      <c r="I348" s="145"/>
      <c r="J348" s="145"/>
      <c r="K348" s="145"/>
      <c r="L348" s="145">
        <f>SUM(L334:L347)</f>
        <v>15126.72</v>
      </c>
      <c r="M348" s="145">
        <f>SUM(M334:M347)</f>
        <v>45977764.809999995</v>
      </c>
      <c r="N348" s="145"/>
      <c r="O348" s="145"/>
      <c r="P348" s="145">
        <f>SUM(P334:P347)</f>
        <v>686</v>
      </c>
      <c r="Q348" s="145">
        <f>SUM(Q334:Q347)</f>
        <v>1350959.92</v>
      </c>
      <c r="R348" s="145"/>
      <c r="S348" s="145"/>
      <c r="T348" s="145">
        <f>SUM(T334:T347)</f>
        <v>4886.91</v>
      </c>
      <c r="U348" s="145">
        <f>SUM(U334:U347)</f>
        <v>19699550.719999999</v>
      </c>
      <c r="V348" s="145"/>
      <c r="W348" s="145">
        <f>SUM(W334:W347)</f>
        <v>3127813.33</v>
      </c>
      <c r="X348" s="145">
        <f>SUM(X334:X347)</f>
        <v>0</v>
      </c>
      <c r="Y348" s="124"/>
      <c r="Z348" s="122"/>
      <c r="AA348" s="122"/>
      <c r="AB348" s="122"/>
      <c r="AE348" s="123"/>
    </row>
    <row r="349" spans="1:31" s="134" customFormat="1" ht="18" customHeight="1" x14ac:dyDescent="0.25">
      <c r="A349" s="188" t="s">
        <v>65</v>
      </c>
      <c r="B349" s="188"/>
      <c r="C349" s="149">
        <f>C348</f>
        <v>70156088.780000001</v>
      </c>
      <c r="D349" s="149"/>
      <c r="E349" s="149"/>
      <c r="F349" s="149"/>
      <c r="G349" s="149"/>
      <c r="H349" s="149"/>
      <c r="I349" s="149"/>
      <c r="J349" s="149"/>
      <c r="K349" s="149"/>
      <c r="L349" s="149">
        <f t="shared" ref="L349:X349" si="26">L348</f>
        <v>15126.72</v>
      </c>
      <c r="M349" s="149">
        <f t="shared" si="26"/>
        <v>45977764.809999995</v>
      </c>
      <c r="N349" s="149"/>
      <c r="O349" s="149"/>
      <c r="P349" s="149">
        <f t="shared" si="26"/>
        <v>686</v>
      </c>
      <c r="Q349" s="149">
        <f t="shared" si="26"/>
        <v>1350959.92</v>
      </c>
      <c r="R349" s="149"/>
      <c r="S349" s="149"/>
      <c r="T349" s="149">
        <f t="shared" si="26"/>
        <v>4886.91</v>
      </c>
      <c r="U349" s="149">
        <f t="shared" si="26"/>
        <v>19699550.719999999</v>
      </c>
      <c r="V349" s="149"/>
      <c r="W349" s="149">
        <f t="shared" si="26"/>
        <v>3127813.33</v>
      </c>
      <c r="X349" s="149">
        <f t="shared" si="26"/>
        <v>0</v>
      </c>
      <c r="Y349" s="124"/>
      <c r="Z349" s="122"/>
      <c r="AA349" s="122"/>
      <c r="AB349" s="122"/>
      <c r="AC349" s="123"/>
    </row>
    <row r="350" spans="1:31" ht="12.75" customHeight="1" x14ac:dyDescent="0.25">
      <c r="A350" s="204" t="s">
        <v>66</v>
      </c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124"/>
      <c r="Z350" s="122"/>
      <c r="AB350" s="122"/>
    </row>
    <row r="351" spans="1:31" ht="15.75" customHeight="1" x14ac:dyDescent="0.25">
      <c r="A351" s="188" t="s">
        <v>597</v>
      </c>
      <c r="B351" s="188"/>
      <c r="C351" s="188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24"/>
      <c r="Z351" s="122"/>
      <c r="AB351" s="122"/>
    </row>
    <row r="352" spans="1:31" ht="15.75" customHeight="1" x14ac:dyDescent="0.25">
      <c r="A352" s="147">
        <f>A347+1</f>
        <v>222</v>
      </c>
      <c r="B352" s="24" t="s">
        <v>598</v>
      </c>
      <c r="C352" s="145">
        <f>D352+K352+M352+O352+Q352+S352+U352+V352+W352+X352</f>
        <v>4305923.8000000007</v>
      </c>
      <c r="D352" s="145"/>
      <c r="E352" s="145"/>
      <c r="F352" s="145"/>
      <c r="G352" s="145"/>
      <c r="H352" s="145"/>
      <c r="I352" s="145"/>
      <c r="J352" s="145"/>
      <c r="K352" s="145"/>
      <c r="L352" s="145">
        <v>1204.9000000000001</v>
      </c>
      <c r="M352" s="145">
        <v>2236855.64</v>
      </c>
      <c r="N352" s="145"/>
      <c r="O352" s="145"/>
      <c r="P352" s="145"/>
      <c r="Q352" s="145"/>
      <c r="R352" s="145"/>
      <c r="S352" s="145"/>
      <c r="T352" s="145"/>
      <c r="U352" s="145"/>
      <c r="V352" s="145"/>
      <c r="W352" s="145">
        <f>576526.12+1058602.96+433939.08</f>
        <v>2069068.1600000001</v>
      </c>
      <c r="X352" s="145"/>
      <c r="Y352" s="124"/>
      <c r="Z352" s="122"/>
      <c r="AB352" s="122"/>
    </row>
    <row r="353" spans="1:31" ht="15.75" customHeight="1" x14ac:dyDescent="0.25">
      <c r="A353" s="147">
        <f>A352+1</f>
        <v>223</v>
      </c>
      <c r="B353" s="24" t="s">
        <v>599</v>
      </c>
      <c r="C353" s="145">
        <f>D353+K353+M353+O353+Q353+S353+U353+V353+W353+X353</f>
        <v>2457320.79</v>
      </c>
      <c r="D353" s="145"/>
      <c r="E353" s="145"/>
      <c r="F353" s="145"/>
      <c r="G353" s="145"/>
      <c r="H353" s="145"/>
      <c r="I353" s="145"/>
      <c r="J353" s="102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>
        <f>576525.87+1446855.82+433939.1</f>
        <v>2457320.79</v>
      </c>
      <c r="X353" s="145"/>
      <c r="Y353" s="124"/>
      <c r="Z353" s="122"/>
      <c r="AB353" s="122"/>
    </row>
    <row r="354" spans="1:31" ht="15.75" customHeight="1" x14ac:dyDescent="0.25">
      <c r="A354" s="203" t="s">
        <v>18</v>
      </c>
      <c r="B354" s="203"/>
      <c r="C354" s="145">
        <f>SUM(C352:C353)</f>
        <v>6763244.5900000008</v>
      </c>
      <c r="D354" s="145"/>
      <c r="E354" s="145"/>
      <c r="F354" s="145"/>
      <c r="G354" s="145"/>
      <c r="H354" s="145"/>
      <c r="I354" s="145"/>
      <c r="J354" s="147"/>
      <c r="K354" s="145"/>
      <c r="L354" s="145">
        <f>SUM(L352:L353)</f>
        <v>1204.9000000000001</v>
      </c>
      <c r="M354" s="145">
        <f>SUM(M352:M353)</f>
        <v>2236855.64</v>
      </c>
      <c r="N354" s="145"/>
      <c r="O354" s="145"/>
      <c r="P354" s="145">
        <f>SUM(P352:P353)</f>
        <v>0</v>
      </c>
      <c r="Q354" s="145">
        <f>SUM(Q352:Q353)</f>
        <v>0</v>
      </c>
      <c r="R354" s="145"/>
      <c r="S354" s="145"/>
      <c r="T354" s="145"/>
      <c r="U354" s="145"/>
      <c r="V354" s="145"/>
      <c r="W354" s="145">
        <f>SUM(W352:W353)</f>
        <v>4526388.95</v>
      </c>
      <c r="X354" s="145">
        <f>SUM(X352:X353)</f>
        <v>0</v>
      </c>
      <c r="Y354" s="124"/>
      <c r="Z354" s="122"/>
      <c r="AA354" s="122"/>
      <c r="AB354" s="122"/>
      <c r="AE354" s="123"/>
    </row>
    <row r="355" spans="1:31" ht="15.75" customHeight="1" x14ac:dyDescent="0.25">
      <c r="A355" s="189" t="s">
        <v>67</v>
      </c>
      <c r="B355" s="189"/>
      <c r="C355" s="189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24"/>
      <c r="Z355" s="122"/>
      <c r="AB355" s="122"/>
    </row>
    <row r="356" spans="1:31" ht="15.75" customHeight="1" x14ac:dyDescent="0.25">
      <c r="A356" s="144">
        <f>A353+1</f>
        <v>224</v>
      </c>
      <c r="B356" s="5" t="s">
        <v>393</v>
      </c>
      <c r="C356" s="145">
        <f>D356+K356+M356+O356+Q356+S356+U356+V356+W356+X356</f>
        <v>3441150.7399999998</v>
      </c>
      <c r="D356" s="145"/>
      <c r="E356" s="145"/>
      <c r="F356" s="145"/>
      <c r="G356" s="145"/>
      <c r="H356" s="145"/>
      <c r="I356" s="145"/>
      <c r="J356" s="145"/>
      <c r="K356" s="145"/>
      <c r="L356" s="145">
        <v>655.28</v>
      </c>
      <c r="M356" s="145">
        <v>3084505.53</v>
      </c>
      <c r="N356" s="145"/>
      <c r="O356" s="145"/>
      <c r="P356" s="145"/>
      <c r="Q356" s="145"/>
      <c r="R356" s="145"/>
      <c r="S356" s="145"/>
      <c r="T356" s="145"/>
      <c r="U356" s="145"/>
      <c r="V356" s="145"/>
      <c r="W356" s="143">
        <v>356645.21</v>
      </c>
      <c r="X356" s="143"/>
      <c r="Y356" s="124"/>
      <c r="Z356" s="122"/>
      <c r="AB356" s="122"/>
    </row>
    <row r="357" spans="1:31" ht="15.75" customHeight="1" x14ac:dyDescent="0.25">
      <c r="A357" s="203" t="s">
        <v>18</v>
      </c>
      <c r="B357" s="203"/>
      <c r="C357" s="145">
        <f>SUM(C356:C356)</f>
        <v>3441150.7399999998</v>
      </c>
      <c r="D357" s="145"/>
      <c r="E357" s="145"/>
      <c r="F357" s="145"/>
      <c r="G357" s="145"/>
      <c r="H357" s="145"/>
      <c r="I357" s="145"/>
      <c r="J357" s="145"/>
      <c r="K357" s="145"/>
      <c r="L357" s="145">
        <f>SUM(L356:L356)</f>
        <v>655.28</v>
      </c>
      <c r="M357" s="145">
        <f>SUM(M356:M356)</f>
        <v>3084505.53</v>
      </c>
      <c r="N357" s="145"/>
      <c r="O357" s="145"/>
      <c r="P357" s="145"/>
      <c r="Q357" s="145"/>
      <c r="R357" s="145"/>
      <c r="S357" s="145"/>
      <c r="T357" s="145"/>
      <c r="U357" s="145"/>
      <c r="V357" s="145"/>
      <c r="W357" s="145">
        <f>SUM(W356:W356)</f>
        <v>356645.21</v>
      </c>
      <c r="X357" s="145">
        <f>SUM(X356:X356)</f>
        <v>0</v>
      </c>
      <c r="Y357" s="124"/>
      <c r="Z357" s="122"/>
      <c r="AA357" s="122"/>
      <c r="AB357" s="122"/>
      <c r="AE357" s="123"/>
    </row>
    <row r="358" spans="1:31" s="135" customFormat="1" ht="15.75" customHeight="1" x14ac:dyDescent="0.25">
      <c r="A358" s="188" t="s">
        <v>185</v>
      </c>
      <c r="B358" s="188"/>
      <c r="C358" s="188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24"/>
      <c r="Z358" s="122"/>
      <c r="AB358" s="122"/>
      <c r="AC358" s="123"/>
    </row>
    <row r="359" spans="1:31" s="135" customFormat="1" ht="15.75" customHeight="1" x14ac:dyDescent="0.25">
      <c r="A359" s="144">
        <f>A356+1</f>
        <v>225</v>
      </c>
      <c r="B359" s="5" t="s">
        <v>186</v>
      </c>
      <c r="C359" s="145">
        <f>D359+K359+M359+O359+Q359+S359+U359+V359+W359+X359</f>
        <v>2411660.69</v>
      </c>
      <c r="D359" s="145"/>
      <c r="E359" s="145"/>
      <c r="F359" s="145"/>
      <c r="G359" s="145"/>
      <c r="H359" s="145"/>
      <c r="I359" s="145"/>
      <c r="J359" s="145"/>
      <c r="K359" s="145"/>
      <c r="L359" s="145">
        <v>1126.8900000000001</v>
      </c>
      <c r="M359" s="145">
        <v>1533502.56</v>
      </c>
      <c r="N359" s="145"/>
      <c r="O359" s="145"/>
      <c r="P359" s="145"/>
      <c r="Q359" s="145"/>
      <c r="R359" s="145"/>
      <c r="S359" s="145"/>
      <c r="T359" s="145"/>
      <c r="U359" s="145"/>
      <c r="V359" s="145"/>
      <c r="W359" s="145">
        <f>370599.97+507558.16</f>
        <v>878158.12999999989</v>
      </c>
      <c r="X359" s="145"/>
      <c r="Y359" s="124"/>
      <c r="Z359" s="122"/>
      <c r="AA359" s="122"/>
      <c r="AB359" s="122"/>
      <c r="AC359" s="123"/>
    </row>
    <row r="360" spans="1:31" s="136" customFormat="1" ht="15.75" customHeight="1" x14ac:dyDescent="0.25">
      <c r="A360" s="203" t="s">
        <v>18</v>
      </c>
      <c r="B360" s="203"/>
      <c r="C360" s="145">
        <f>SUM(C359)</f>
        <v>2411660.69</v>
      </c>
      <c r="D360" s="145"/>
      <c r="E360" s="145"/>
      <c r="F360" s="145"/>
      <c r="G360" s="145"/>
      <c r="H360" s="145"/>
      <c r="I360" s="145"/>
      <c r="J360" s="145"/>
      <c r="K360" s="145"/>
      <c r="L360" s="145">
        <f t="shared" ref="L360:X360" si="27">SUM(L359)</f>
        <v>1126.8900000000001</v>
      </c>
      <c r="M360" s="145">
        <f t="shared" si="27"/>
        <v>1533502.56</v>
      </c>
      <c r="N360" s="145"/>
      <c r="O360" s="145"/>
      <c r="P360" s="145">
        <f t="shared" si="27"/>
        <v>0</v>
      </c>
      <c r="Q360" s="145">
        <f t="shared" si="27"/>
        <v>0</v>
      </c>
      <c r="R360" s="145"/>
      <c r="S360" s="145"/>
      <c r="T360" s="145">
        <f t="shared" si="27"/>
        <v>0</v>
      </c>
      <c r="U360" s="145">
        <f t="shared" si="27"/>
        <v>0</v>
      </c>
      <c r="V360" s="145"/>
      <c r="W360" s="145">
        <f t="shared" si="27"/>
        <v>878158.12999999989</v>
      </c>
      <c r="X360" s="145">
        <f t="shared" si="27"/>
        <v>0</v>
      </c>
      <c r="Y360" s="124">
        <f>(C360-W360)*0.0214</f>
        <v>32816.954784000001</v>
      </c>
      <c r="Z360" s="122"/>
      <c r="AA360" s="122"/>
      <c r="AB360" s="122"/>
      <c r="AC360" s="123"/>
      <c r="AE360" s="123"/>
    </row>
    <row r="361" spans="1:31" ht="15.75" customHeight="1" x14ac:dyDescent="0.25">
      <c r="A361" s="188" t="s">
        <v>68</v>
      </c>
      <c r="B361" s="188"/>
      <c r="C361" s="188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24"/>
      <c r="Z361" s="122"/>
      <c r="AB361" s="122"/>
    </row>
    <row r="362" spans="1:31" ht="15.75" customHeight="1" x14ac:dyDescent="0.25">
      <c r="A362" s="144">
        <f>A359+1</f>
        <v>226</v>
      </c>
      <c r="B362" s="5" t="s">
        <v>394</v>
      </c>
      <c r="C362" s="145">
        <f>D362+K362+M362+O362+Q362+S362+U362+V362+W362+X362</f>
        <v>2543620.5699999998</v>
      </c>
      <c r="D362" s="145"/>
      <c r="E362" s="145"/>
      <c r="F362" s="145"/>
      <c r="G362" s="145"/>
      <c r="H362" s="145"/>
      <c r="I362" s="145"/>
      <c r="J362" s="145"/>
      <c r="K362" s="145"/>
      <c r="L362" s="145">
        <v>1030</v>
      </c>
      <c r="M362" s="145">
        <v>1780952.94</v>
      </c>
      <c r="N362" s="145"/>
      <c r="O362" s="145"/>
      <c r="P362" s="145"/>
      <c r="Q362" s="145"/>
      <c r="R362" s="145"/>
      <c r="S362" s="145"/>
      <c r="T362" s="145"/>
      <c r="U362" s="145"/>
      <c r="V362" s="145"/>
      <c r="W362" s="145">
        <v>762667.63</v>
      </c>
      <c r="X362" s="145"/>
      <c r="Y362" s="124"/>
      <c r="Z362" s="122"/>
      <c r="AA362" s="122"/>
      <c r="AB362" s="122"/>
    </row>
    <row r="363" spans="1:31" ht="15.75" customHeight="1" x14ac:dyDescent="0.25">
      <c r="A363" s="144">
        <f>A362+1</f>
        <v>227</v>
      </c>
      <c r="B363" s="5" t="s">
        <v>395</v>
      </c>
      <c r="C363" s="145">
        <f>D363+K363+M363+O363+Q363+S363+U363+V363+W363+X363</f>
        <v>3061158.51</v>
      </c>
      <c r="D363" s="145"/>
      <c r="E363" s="145"/>
      <c r="F363" s="145"/>
      <c r="G363" s="145"/>
      <c r="H363" s="145"/>
      <c r="I363" s="145"/>
      <c r="J363" s="145"/>
      <c r="K363" s="145"/>
      <c r="L363" s="145">
        <v>565.36</v>
      </c>
      <c r="M363" s="145">
        <v>3061158.51</v>
      </c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24"/>
      <c r="Z363" s="122"/>
      <c r="AA363" s="122"/>
      <c r="AB363" s="122"/>
    </row>
    <row r="364" spans="1:31" ht="15.75" customHeight="1" x14ac:dyDescent="0.25">
      <c r="A364" s="144">
        <f>A363+1</f>
        <v>228</v>
      </c>
      <c r="B364" s="5" t="s">
        <v>396</v>
      </c>
      <c r="C364" s="145">
        <f>D364+K364+M364+O364+Q364+S364+U364+V364+W364+X364</f>
        <v>189126.97</v>
      </c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>
        <v>189126.97</v>
      </c>
      <c r="X364" s="145"/>
      <c r="Y364" s="124"/>
      <c r="Z364" s="122"/>
      <c r="AB364" s="122"/>
    </row>
    <row r="365" spans="1:31" ht="15.75" customHeight="1" x14ac:dyDescent="0.25">
      <c r="A365" s="203" t="s">
        <v>18</v>
      </c>
      <c r="B365" s="203"/>
      <c r="C365" s="145">
        <f>SUM(C362:C364)</f>
        <v>5793906.0499999998</v>
      </c>
      <c r="D365" s="145"/>
      <c r="E365" s="145"/>
      <c r="F365" s="145"/>
      <c r="G365" s="145"/>
      <c r="H365" s="145"/>
      <c r="I365" s="145"/>
      <c r="J365" s="145"/>
      <c r="K365" s="145"/>
      <c r="L365" s="145">
        <f t="shared" ref="L365:X365" si="28">SUM(L362:L364)</f>
        <v>1595.3600000000001</v>
      </c>
      <c r="M365" s="145">
        <f t="shared" si="28"/>
        <v>4842111.4499999993</v>
      </c>
      <c r="N365" s="145"/>
      <c r="O365" s="145"/>
      <c r="P365" s="145">
        <f t="shared" si="28"/>
        <v>0</v>
      </c>
      <c r="Q365" s="145">
        <f t="shared" si="28"/>
        <v>0</v>
      </c>
      <c r="R365" s="145"/>
      <c r="S365" s="145"/>
      <c r="T365" s="145"/>
      <c r="U365" s="145"/>
      <c r="V365" s="145"/>
      <c r="W365" s="145">
        <f t="shared" si="28"/>
        <v>951794.6</v>
      </c>
      <c r="X365" s="145">
        <f t="shared" si="28"/>
        <v>0</v>
      </c>
      <c r="Y365" s="124"/>
      <c r="Z365" s="122"/>
      <c r="AA365" s="122"/>
      <c r="AB365" s="122"/>
      <c r="AE365" s="123"/>
    </row>
    <row r="366" spans="1:31" ht="15.75" customHeight="1" x14ac:dyDescent="0.25">
      <c r="A366" s="188" t="s">
        <v>189</v>
      </c>
      <c r="B366" s="188"/>
      <c r="C366" s="188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24"/>
      <c r="Z366" s="122"/>
      <c r="AA366" s="122"/>
      <c r="AB366" s="122"/>
    </row>
    <row r="367" spans="1:31" ht="15.75" customHeight="1" x14ac:dyDescent="0.25">
      <c r="A367" s="144">
        <f>A364+1</f>
        <v>229</v>
      </c>
      <c r="B367" s="5" t="s">
        <v>397</v>
      </c>
      <c r="C367" s="145">
        <f>D367+K367+M367+O367+Q367+S367+U367+V367+W367+X367</f>
        <v>3613441.95</v>
      </c>
      <c r="D367" s="145"/>
      <c r="E367" s="145"/>
      <c r="F367" s="145"/>
      <c r="G367" s="145"/>
      <c r="H367" s="145"/>
      <c r="I367" s="145"/>
      <c r="J367" s="145"/>
      <c r="K367" s="145"/>
      <c r="L367" s="145">
        <v>1050</v>
      </c>
      <c r="M367" s="145">
        <v>3089537.62</v>
      </c>
      <c r="N367" s="145"/>
      <c r="O367" s="145"/>
      <c r="P367" s="145"/>
      <c r="Q367" s="145"/>
      <c r="R367" s="145"/>
      <c r="S367" s="145"/>
      <c r="T367" s="145"/>
      <c r="U367" s="145"/>
      <c r="V367" s="145"/>
      <c r="W367" s="145">
        <v>523904.33</v>
      </c>
      <c r="X367" s="145"/>
      <c r="Y367" s="124"/>
      <c r="Z367" s="122"/>
      <c r="AA367" s="122"/>
      <c r="AB367" s="122"/>
    </row>
    <row r="368" spans="1:31" ht="15.75" customHeight="1" x14ac:dyDescent="0.25">
      <c r="A368" s="144">
        <f>A367+1</f>
        <v>230</v>
      </c>
      <c r="B368" s="5" t="s">
        <v>398</v>
      </c>
      <c r="C368" s="145">
        <f>D368+K368+M368+O368+Q368+S368+U368+V368+W368+X368</f>
        <v>5688967.5700000003</v>
      </c>
      <c r="D368" s="145"/>
      <c r="E368" s="145"/>
      <c r="F368" s="145"/>
      <c r="G368" s="145"/>
      <c r="H368" s="145"/>
      <c r="I368" s="145"/>
      <c r="J368" s="145"/>
      <c r="K368" s="145"/>
      <c r="L368" s="145">
        <v>1790</v>
      </c>
      <c r="M368" s="145">
        <v>5267885.37</v>
      </c>
      <c r="N368" s="145"/>
      <c r="O368" s="145"/>
      <c r="P368" s="145"/>
      <c r="Q368" s="145"/>
      <c r="R368" s="145"/>
      <c r="S368" s="145"/>
      <c r="T368" s="145"/>
      <c r="U368" s="145"/>
      <c r="V368" s="145"/>
      <c r="W368" s="145">
        <v>421082.2</v>
      </c>
      <c r="X368" s="145"/>
      <c r="Y368" s="124"/>
      <c r="Z368" s="122"/>
      <c r="AA368" s="122"/>
      <c r="AB368" s="122"/>
    </row>
    <row r="369" spans="1:31" ht="15.75" customHeight="1" x14ac:dyDescent="0.25">
      <c r="A369" s="203" t="s">
        <v>18</v>
      </c>
      <c r="B369" s="203"/>
      <c r="C369" s="145">
        <f>SUM(C367:C368)</f>
        <v>9302409.5199999996</v>
      </c>
      <c r="D369" s="145"/>
      <c r="E369" s="145"/>
      <c r="F369" s="145"/>
      <c r="G369" s="145"/>
      <c r="H369" s="145"/>
      <c r="I369" s="145"/>
      <c r="J369" s="145"/>
      <c r="K369" s="145"/>
      <c r="L369" s="145">
        <f>SUM(L367:L368)</f>
        <v>2840</v>
      </c>
      <c r="M369" s="145">
        <f>SUM(M367:M368)</f>
        <v>8357422.9900000002</v>
      </c>
      <c r="N369" s="145"/>
      <c r="O369" s="145"/>
      <c r="P369" s="145"/>
      <c r="Q369" s="145"/>
      <c r="R369" s="145"/>
      <c r="S369" s="145"/>
      <c r="T369" s="145"/>
      <c r="U369" s="145"/>
      <c r="V369" s="145"/>
      <c r="W369" s="145">
        <f>SUM(W367:W368)</f>
        <v>944986.53</v>
      </c>
      <c r="X369" s="145">
        <f>SUM(X367:X368)</f>
        <v>0</v>
      </c>
      <c r="Y369" s="124"/>
      <c r="Z369" s="122"/>
      <c r="AA369" s="122"/>
      <c r="AB369" s="122"/>
      <c r="AE369" s="123"/>
    </row>
    <row r="370" spans="1:31" ht="15.75" customHeight="1" x14ac:dyDescent="0.25">
      <c r="A370" s="188" t="s">
        <v>188</v>
      </c>
      <c r="B370" s="188"/>
      <c r="C370" s="188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24"/>
      <c r="Z370" s="122"/>
      <c r="AA370" s="122"/>
      <c r="AB370" s="122"/>
    </row>
    <row r="371" spans="1:31" ht="15.75" customHeight="1" x14ac:dyDescent="0.25">
      <c r="A371" s="147">
        <f>A368+1</f>
        <v>231</v>
      </c>
      <c r="B371" s="5" t="s">
        <v>399</v>
      </c>
      <c r="C371" s="145">
        <f>D371+K371+M371+O371+Q371+S371+U371+V371+W371+X371</f>
        <v>975253.97</v>
      </c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>
        <f>698816.88+276437.09</f>
        <v>975253.97</v>
      </c>
      <c r="X371" s="145"/>
      <c r="Y371" s="124"/>
      <c r="Z371" s="122"/>
      <c r="AA371" s="122"/>
      <c r="AB371" s="122"/>
    </row>
    <row r="372" spans="1:31" ht="15.75" customHeight="1" x14ac:dyDescent="0.25">
      <c r="A372" s="147">
        <f>A371+1</f>
        <v>232</v>
      </c>
      <c r="B372" s="5" t="s">
        <v>400</v>
      </c>
      <c r="C372" s="145">
        <f>D372+K372+M372+O372+Q372+S372+U372+V372+W372+X372</f>
        <v>877765.35000000009</v>
      </c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>
        <f>253072.06+624693.29</f>
        <v>877765.35000000009</v>
      </c>
      <c r="X372" s="145"/>
      <c r="Y372" s="124"/>
      <c r="Z372" s="122"/>
      <c r="AA372" s="122"/>
      <c r="AB372" s="122"/>
    </row>
    <row r="373" spans="1:31" ht="15.75" customHeight="1" x14ac:dyDescent="0.25">
      <c r="A373" s="147">
        <f>A372+1</f>
        <v>233</v>
      </c>
      <c r="B373" s="5" t="s">
        <v>401</v>
      </c>
      <c r="C373" s="145">
        <f>D373+K373+M373+O373+Q373+S373+U373+V373+W373+X373</f>
        <v>1914539.5899999999</v>
      </c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>
        <f>1367100.99+547438.6</f>
        <v>1914539.5899999999</v>
      </c>
      <c r="X373" s="145"/>
      <c r="Y373" s="124"/>
      <c r="Z373" s="122"/>
      <c r="AA373" s="122"/>
      <c r="AB373" s="122"/>
    </row>
    <row r="374" spans="1:31" ht="15.75" customHeight="1" x14ac:dyDescent="0.25">
      <c r="A374" s="147">
        <f>A373+1</f>
        <v>234</v>
      </c>
      <c r="B374" s="5" t="s">
        <v>402</v>
      </c>
      <c r="C374" s="145">
        <f>D374+K374+M374+O374+Q374+S374+U374+V374+W374+X374</f>
        <v>1839391</v>
      </c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>
        <f>1316247.72+523143.28</f>
        <v>1839391</v>
      </c>
      <c r="X374" s="145"/>
      <c r="Y374" s="124"/>
      <c r="Z374" s="122"/>
      <c r="AA374" s="122"/>
      <c r="AB374" s="122"/>
    </row>
    <row r="375" spans="1:31" ht="15.75" customHeight="1" x14ac:dyDescent="0.25">
      <c r="A375" s="203" t="s">
        <v>18</v>
      </c>
      <c r="B375" s="203"/>
      <c r="C375" s="145">
        <f>SUM(C371:C374)</f>
        <v>5606949.9100000001</v>
      </c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>
        <f>SUM(W371:W374)</f>
        <v>5606949.9100000001</v>
      </c>
      <c r="X375" s="145"/>
      <c r="Y375" s="124"/>
      <c r="Z375" s="122"/>
      <c r="AA375" s="122"/>
      <c r="AB375" s="122"/>
    </row>
    <row r="376" spans="1:31" ht="15.75" customHeight="1" x14ac:dyDescent="0.25">
      <c r="A376" s="169" t="s">
        <v>565</v>
      </c>
      <c r="B376" s="169"/>
      <c r="C376" s="169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24"/>
      <c r="Z376" s="122"/>
      <c r="AA376" s="122"/>
      <c r="AB376" s="122"/>
    </row>
    <row r="377" spans="1:31" ht="15.75" customHeight="1" x14ac:dyDescent="0.25">
      <c r="A377" s="147">
        <f>A374+1</f>
        <v>235</v>
      </c>
      <c r="B377" s="140" t="s">
        <v>566</v>
      </c>
      <c r="C377" s="145">
        <f>D377+K377+M377+O377+Q377+S377+U377+V377+W377+X377</f>
        <v>683044.9</v>
      </c>
      <c r="D377" s="145">
        <f>E377+F377+G377+H377+I377</f>
        <v>683044.9</v>
      </c>
      <c r="E377" s="145">
        <v>683044.9</v>
      </c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24"/>
      <c r="Z377" s="122"/>
      <c r="AA377" s="122"/>
      <c r="AB377" s="122"/>
    </row>
    <row r="378" spans="1:31" ht="15.75" customHeight="1" x14ac:dyDescent="0.25">
      <c r="A378" s="147">
        <f>A377+1</f>
        <v>236</v>
      </c>
      <c r="B378" s="140" t="s">
        <v>567</v>
      </c>
      <c r="C378" s="145">
        <f>D378+K378+M378+O378+Q378+S378+U378+V378+W378+X378</f>
        <v>861762.6</v>
      </c>
      <c r="D378" s="145">
        <f>E378+F378+G378+H378+I378</f>
        <v>861762.6</v>
      </c>
      <c r="E378" s="145">
        <v>861762.6</v>
      </c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24"/>
      <c r="Z378" s="122"/>
      <c r="AA378" s="122"/>
      <c r="AB378" s="122"/>
    </row>
    <row r="379" spans="1:31" ht="15.75" customHeight="1" x14ac:dyDescent="0.25">
      <c r="A379" s="203" t="s">
        <v>18</v>
      </c>
      <c r="B379" s="203"/>
      <c r="C379" s="145">
        <f>SUM(C377:C378)</f>
        <v>1544807.5</v>
      </c>
      <c r="D379" s="145">
        <f>SUM(D377:D378)</f>
        <v>1544807.5</v>
      </c>
      <c r="E379" s="145">
        <f>SUM(E377:E378)</f>
        <v>1544807.5</v>
      </c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24"/>
      <c r="Z379" s="122"/>
      <c r="AA379" s="122"/>
      <c r="AB379" s="122"/>
      <c r="AE379" s="123"/>
    </row>
    <row r="380" spans="1:31" s="134" customFormat="1" ht="15.75" customHeight="1" x14ac:dyDescent="0.25">
      <c r="A380" s="188" t="s">
        <v>69</v>
      </c>
      <c r="B380" s="188"/>
      <c r="C380" s="149">
        <f>C354+C357+C360+C365+C369+C375+C379</f>
        <v>34864129</v>
      </c>
      <c r="D380" s="149">
        <f t="shared" ref="D380:X380" si="29">D354+D357+D360+D365+D369+D375+D379</f>
        <v>1544807.5</v>
      </c>
      <c r="E380" s="149">
        <f t="shared" si="29"/>
        <v>1544807.5</v>
      </c>
      <c r="F380" s="149"/>
      <c r="G380" s="149"/>
      <c r="H380" s="149"/>
      <c r="I380" s="149"/>
      <c r="J380" s="16">
        <f t="shared" si="29"/>
        <v>0</v>
      </c>
      <c r="K380" s="149">
        <f t="shared" si="29"/>
        <v>0</v>
      </c>
      <c r="L380" s="149">
        <f t="shared" si="29"/>
        <v>7422.43</v>
      </c>
      <c r="M380" s="149">
        <f t="shared" si="29"/>
        <v>20054398.170000002</v>
      </c>
      <c r="N380" s="149"/>
      <c r="O380" s="149"/>
      <c r="P380" s="149">
        <f t="shared" si="29"/>
        <v>0</v>
      </c>
      <c r="Q380" s="149">
        <f t="shared" si="29"/>
        <v>0</v>
      </c>
      <c r="R380" s="149"/>
      <c r="S380" s="149"/>
      <c r="T380" s="149"/>
      <c r="U380" s="149"/>
      <c r="V380" s="149"/>
      <c r="W380" s="149">
        <f t="shared" si="29"/>
        <v>13264923.33</v>
      </c>
      <c r="X380" s="149">
        <f t="shared" si="29"/>
        <v>0</v>
      </c>
      <c r="Y380" s="124"/>
      <c r="Z380" s="122"/>
      <c r="AA380" s="133"/>
      <c r="AB380" s="122"/>
      <c r="AC380" s="131"/>
    </row>
    <row r="381" spans="1:31" s="134" customFormat="1" ht="16.5" customHeight="1" x14ac:dyDescent="0.25">
      <c r="A381" s="204" t="s">
        <v>70</v>
      </c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124"/>
      <c r="Z381" s="122"/>
      <c r="AB381" s="122"/>
      <c r="AC381" s="123"/>
    </row>
    <row r="382" spans="1:31" ht="18.75" customHeight="1" x14ac:dyDescent="0.25">
      <c r="A382" s="189" t="s">
        <v>71</v>
      </c>
      <c r="B382" s="189"/>
      <c r="C382" s="189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24"/>
      <c r="Z382" s="122"/>
      <c r="AB382" s="122"/>
    </row>
    <row r="383" spans="1:31" ht="18.75" customHeight="1" x14ac:dyDescent="0.25">
      <c r="A383" s="144">
        <f>A378+1</f>
        <v>237</v>
      </c>
      <c r="B383" s="5" t="s">
        <v>403</v>
      </c>
      <c r="C383" s="145">
        <f t="shared" ref="C383:C389" si="30">D383+K383+M383+O383+Q383+S383+U383+V383+W383+X383</f>
        <v>381181.98</v>
      </c>
      <c r="D383" s="145"/>
      <c r="E383" s="143"/>
      <c r="F383" s="143"/>
      <c r="G383" s="143"/>
      <c r="H383" s="143"/>
      <c r="I383" s="143"/>
      <c r="J383" s="143"/>
      <c r="K383" s="143"/>
      <c r="L383" s="103"/>
      <c r="M383" s="145"/>
      <c r="N383" s="143"/>
      <c r="O383" s="143"/>
      <c r="P383" s="103"/>
      <c r="Q383" s="103"/>
      <c r="R383" s="103"/>
      <c r="S383" s="103"/>
      <c r="T383" s="103"/>
      <c r="U383" s="103"/>
      <c r="V383" s="145"/>
      <c r="W383" s="145">
        <v>381181.98</v>
      </c>
      <c r="X383" s="145"/>
      <c r="Y383" s="124"/>
      <c r="Z383" s="122"/>
      <c r="AB383" s="122"/>
    </row>
    <row r="384" spans="1:31" ht="18.75" customHeight="1" x14ac:dyDescent="0.25">
      <c r="A384" s="144">
        <f t="shared" ref="A384:A389" si="31">A383+1</f>
        <v>238</v>
      </c>
      <c r="B384" s="5" t="s">
        <v>404</v>
      </c>
      <c r="C384" s="145">
        <f t="shared" si="30"/>
        <v>3242429.25</v>
      </c>
      <c r="D384" s="145"/>
      <c r="E384" s="143"/>
      <c r="F384" s="143"/>
      <c r="G384" s="143"/>
      <c r="H384" s="143"/>
      <c r="I384" s="143"/>
      <c r="J384" s="143"/>
      <c r="K384" s="143"/>
      <c r="L384" s="103">
        <v>657</v>
      </c>
      <c r="M384" s="145">
        <v>2861247.27</v>
      </c>
      <c r="N384" s="143"/>
      <c r="O384" s="143"/>
      <c r="P384" s="103"/>
      <c r="Q384" s="103"/>
      <c r="R384" s="103"/>
      <c r="S384" s="103"/>
      <c r="T384" s="103"/>
      <c r="U384" s="103"/>
      <c r="V384" s="145"/>
      <c r="W384" s="145">
        <v>381181.98</v>
      </c>
      <c r="X384" s="145"/>
      <c r="Y384" s="124"/>
      <c r="Z384" s="122"/>
      <c r="AB384" s="122"/>
    </row>
    <row r="385" spans="1:31" ht="18.75" customHeight="1" x14ac:dyDescent="0.25">
      <c r="A385" s="144">
        <f t="shared" si="31"/>
        <v>239</v>
      </c>
      <c r="B385" s="5" t="s">
        <v>405</v>
      </c>
      <c r="C385" s="145">
        <f t="shared" si="30"/>
        <v>3242429.25</v>
      </c>
      <c r="D385" s="145"/>
      <c r="E385" s="143"/>
      <c r="F385" s="143"/>
      <c r="G385" s="143"/>
      <c r="H385" s="143"/>
      <c r="I385" s="143"/>
      <c r="J385" s="143"/>
      <c r="K385" s="143"/>
      <c r="L385" s="103">
        <v>657</v>
      </c>
      <c r="M385" s="145">
        <v>2861247.27</v>
      </c>
      <c r="N385" s="143"/>
      <c r="O385" s="143"/>
      <c r="P385" s="103"/>
      <c r="Q385" s="103"/>
      <c r="R385" s="103"/>
      <c r="S385" s="103"/>
      <c r="T385" s="103"/>
      <c r="U385" s="103"/>
      <c r="V385" s="145"/>
      <c r="W385" s="145">
        <v>381181.98</v>
      </c>
      <c r="X385" s="145"/>
      <c r="Y385" s="124"/>
      <c r="Z385" s="122"/>
      <c r="AB385" s="122"/>
    </row>
    <row r="386" spans="1:31" ht="18.75" customHeight="1" x14ac:dyDescent="0.25">
      <c r="A386" s="144">
        <f t="shared" si="31"/>
        <v>240</v>
      </c>
      <c r="B386" s="5" t="s">
        <v>406</v>
      </c>
      <c r="C386" s="145">
        <f t="shared" si="30"/>
        <v>504817.19999999995</v>
      </c>
      <c r="D386" s="145"/>
      <c r="E386" s="143"/>
      <c r="F386" s="143"/>
      <c r="G386" s="143"/>
      <c r="H386" s="143"/>
      <c r="I386" s="143"/>
      <c r="J386" s="143"/>
      <c r="K386" s="143"/>
      <c r="L386" s="103"/>
      <c r="M386" s="103"/>
      <c r="N386" s="143"/>
      <c r="O386" s="143"/>
      <c r="P386" s="103"/>
      <c r="Q386" s="103"/>
      <c r="R386" s="103"/>
      <c r="S386" s="103"/>
      <c r="T386" s="103"/>
      <c r="U386" s="145"/>
      <c r="V386" s="145"/>
      <c r="W386" s="145">
        <f>135556.83+369260.37</f>
        <v>504817.19999999995</v>
      </c>
      <c r="X386" s="145"/>
      <c r="Y386" s="124"/>
      <c r="Z386" s="122"/>
      <c r="AB386" s="122"/>
    </row>
    <row r="387" spans="1:31" ht="18.75" customHeight="1" x14ac:dyDescent="0.25">
      <c r="A387" s="144">
        <f t="shared" si="31"/>
        <v>241</v>
      </c>
      <c r="B387" s="5" t="s">
        <v>407</v>
      </c>
      <c r="C387" s="145">
        <f t="shared" si="30"/>
        <v>504817.19999999995</v>
      </c>
      <c r="D387" s="145"/>
      <c r="E387" s="143"/>
      <c r="F387" s="143"/>
      <c r="G387" s="143"/>
      <c r="H387" s="143"/>
      <c r="I387" s="143"/>
      <c r="J387" s="143"/>
      <c r="K387" s="143"/>
      <c r="L387" s="103"/>
      <c r="M387" s="103"/>
      <c r="N387" s="143"/>
      <c r="O387" s="143"/>
      <c r="P387" s="103"/>
      <c r="Q387" s="103"/>
      <c r="R387" s="103"/>
      <c r="S387" s="103"/>
      <c r="T387" s="103"/>
      <c r="U387" s="145"/>
      <c r="V387" s="145"/>
      <c r="W387" s="145">
        <f>135556.83+369260.37</f>
        <v>504817.19999999995</v>
      </c>
      <c r="X387" s="145"/>
      <c r="Y387" s="124"/>
      <c r="Z387" s="122"/>
      <c r="AB387" s="122"/>
    </row>
    <row r="388" spans="1:31" ht="18.75" customHeight="1" x14ac:dyDescent="0.25">
      <c r="A388" s="144">
        <f t="shared" si="31"/>
        <v>242</v>
      </c>
      <c r="B388" s="5" t="s">
        <v>408</v>
      </c>
      <c r="C388" s="145">
        <f t="shared" si="30"/>
        <v>3241989.93</v>
      </c>
      <c r="D388" s="145"/>
      <c r="E388" s="143"/>
      <c r="F388" s="143"/>
      <c r="G388" s="143"/>
      <c r="H388" s="143"/>
      <c r="I388" s="143"/>
      <c r="J388" s="143"/>
      <c r="K388" s="143"/>
      <c r="L388" s="103">
        <v>657</v>
      </c>
      <c r="M388" s="145">
        <v>2860807.95</v>
      </c>
      <c r="N388" s="143"/>
      <c r="O388" s="143"/>
      <c r="P388" s="103"/>
      <c r="Q388" s="103"/>
      <c r="R388" s="103"/>
      <c r="S388" s="103"/>
      <c r="T388" s="103"/>
      <c r="U388" s="145"/>
      <c r="V388" s="145"/>
      <c r="W388" s="145">
        <v>381181.98</v>
      </c>
      <c r="X388" s="145"/>
      <c r="Y388" s="124"/>
      <c r="Z388" s="122"/>
      <c r="AB388" s="122"/>
    </row>
    <row r="389" spans="1:31" ht="18.75" customHeight="1" x14ac:dyDescent="0.25">
      <c r="A389" s="144">
        <f t="shared" si="31"/>
        <v>243</v>
      </c>
      <c r="B389" s="5" t="s">
        <v>409</v>
      </c>
      <c r="C389" s="145">
        <f t="shared" si="30"/>
        <v>504817.19999999995</v>
      </c>
      <c r="D389" s="145"/>
      <c r="E389" s="143"/>
      <c r="F389" s="143"/>
      <c r="G389" s="143"/>
      <c r="H389" s="143"/>
      <c r="I389" s="143"/>
      <c r="J389" s="143"/>
      <c r="K389" s="143"/>
      <c r="L389" s="103"/>
      <c r="M389" s="103"/>
      <c r="N389" s="143"/>
      <c r="O389" s="143"/>
      <c r="P389" s="103"/>
      <c r="Q389" s="103"/>
      <c r="R389" s="103"/>
      <c r="S389" s="103"/>
      <c r="T389" s="103"/>
      <c r="U389" s="145"/>
      <c r="V389" s="145"/>
      <c r="W389" s="145">
        <f>135556.83+369260.37</f>
        <v>504817.19999999995</v>
      </c>
      <c r="X389" s="145"/>
      <c r="Y389" s="124"/>
      <c r="Z389" s="122"/>
      <c r="AB389" s="122"/>
    </row>
    <row r="390" spans="1:31" ht="18.75" customHeight="1" x14ac:dyDescent="0.25">
      <c r="A390" s="203" t="s">
        <v>18</v>
      </c>
      <c r="B390" s="203"/>
      <c r="C390" s="143">
        <f>SUM(C383:C389)</f>
        <v>11622482.01</v>
      </c>
      <c r="D390" s="143"/>
      <c r="E390" s="143"/>
      <c r="F390" s="143"/>
      <c r="G390" s="143"/>
      <c r="H390" s="143"/>
      <c r="I390" s="143"/>
      <c r="J390" s="143"/>
      <c r="K390" s="143"/>
      <c r="L390" s="143">
        <f>SUM(L383:L389)</f>
        <v>1971</v>
      </c>
      <c r="M390" s="143">
        <f>SUM(M383:M389)</f>
        <v>8583302.4900000002</v>
      </c>
      <c r="N390" s="143"/>
      <c r="O390" s="143"/>
      <c r="P390" s="143"/>
      <c r="Q390" s="143"/>
      <c r="R390" s="143"/>
      <c r="S390" s="143"/>
      <c r="T390" s="143"/>
      <c r="U390" s="143"/>
      <c r="V390" s="143"/>
      <c r="W390" s="143">
        <f>SUM(W383:W389)</f>
        <v>3039179.5199999996</v>
      </c>
      <c r="X390" s="143">
        <f>SUM(X383:X389)</f>
        <v>0</v>
      </c>
      <c r="Y390" s="124"/>
      <c r="Z390" s="122"/>
      <c r="AA390" s="122"/>
      <c r="AB390" s="122"/>
      <c r="AE390" s="123"/>
    </row>
    <row r="391" spans="1:31" ht="18.75" customHeight="1" x14ac:dyDescent="0.25">
      <c r="A391" s="188" t="s">
        <v>72</v>
      </c>
      <c r="B391" s="188"/>
      <c r="C391" s="188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24"/>
      <c r="Z391" s="122"/>
      <c r="AB391" s="122"/>
    </row>
    <row r="392" spans="1:31" ht="18.75" customHeight="1" x14ac:dyDescent="0.25">
      <c r="A392" s="144">
        <f>A389+1</f>
        <v>244</v>
      </c>
      <c r="B392" s="5" t="s">
        <v>410</v>
      </c>
      <c r="C392" s="145">
        <f t="shared" ref="C392:C397" si="32">D392+K392+M392+O392+Q392+S392+U392+V392+W392+X392</f>
        <v>1203454.2996</v>
      </c>
      <c r="D392" s="145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>
        <v>617</v>
      </c>
      <c r="Q392" s="145">
        <v>1055088.9996</v>
      </c>
      <c r="R392" s="143"/>
      <c r="S392" s="143"/>
      <c r="T392" s="143"/>
      <c r="U392" s="143"/>
      <c r="V392" s="143"/>
      <c r="W392" s="143">
        <v>148365.29999999999</v>
      </c>
      <c r="X392" s="143"/>
      <c r="Y392" s="124"/>
      <c r="Z392" s="122"/>
      <c r="AA392" s="122"/>
      <c r="AB392" s="122"/>
    </row>
    <row r="393" spans="1:31" ht="18.75" customHeight="1" x14ac:dyDescent="0.25">
      <c r="A393" s="144">
        <f>A392+1</f>
        <v>245</v>
      </c>
      <c r="B393" s="5" t="s">
        <v>411</v>
      </c>
      <c r="C393" s="145">
        <f t="shared" si="32"/>
        <v>1248128.8</v>
      </c>
      <c r="D393" s="145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>
        <v>598</v>
      </c>
      <c r="Q393" s="145">
        <v>1100559.8</v>
      </c>
      <c r="R393" s="143"/>
      <c r="S393" s="143"/>
      <c r="T393" s="143"/>
      <c r="U393" s="143"/>
      <c r="V393" s="143"/>
      <c r="W393" s="143">
        <v>147569</v>
      </c>
      <c r="X393" s="143"/>
      <c r="Y393" s="124"/>
      <c r="Z393" s="122"/>
      <c r="AA393" s="122"/>
      <c r="AB393" s="122"/>
    </row>
    <row r="394" spans="1:31" ht="18.75" customHeight="1" x14ac:dyDescent="0.25">
      <c r="A394" s="144">
        <f t="shared" ref="A394:A401" si="33">A393+1</f>
        <v>246</v>
      </c>
      <c r="B394" s="5" t="s">
        <v>412</v>
      </c>
      <c r="C394" s="145">
        <f t="shared" si="32"/>
        <v>1247256.19</v>
      </c>
      <c r="D394" s="145"/>
      <c r="E394" s="143"/>
      <c r="F394" s="143"/>
      <c r="G394" s="143"/>
      <c r="H394" s="143"/>
      <c r="I394" s="143"/>
      <c r="J394" s="143"/>
      <c r="K394" s="143"/>
      <c r="L394" s="143"/>
      <c r="M394" s="143"/>
      <c r="N394" s="145"/>
      <c r="O394" s="145"/>
      <c r="P394" s="143">
        <v>617</v>
      </c>
      <c r="Q394" s="145">
        <v>1099687.19</v>
      </c>
      <c r="R394" s="145"/>
      <c r="S394" s="145"/>
      <c r="T394" s="145"/>
      <c r="U394" s="145"/>
      <c r="V394" s="143"/>
      <c r="W394" s="143">
        <v>147569</v>
      </c>
      <c r="X394" s="143"/>
      <c r="Y394" s="124"/>
      <c r="Z394" s="122"/>
      <c r="AA394" s="122"/>
      <c r="AB394" s="122"/>
    </row>
    <row r="395" spans="1:31" ht="18.75" customHeight="1" x14ac:dyDescent="0.25">
      <c r="A395" s="144">
        <f t="shared" si="33"/>
        <v>247</v>
      </c>
      <c r="B395" s="5" t="s">
        <v>413</v>
      </c>
      <c r="C395" s="145">
        <f t="shared" si="32"/>
        <v>1247256.19</v>
      </c>
      <c r="D395" s="145"/>
      <c r="E395" s="143"/>
      <c r="F395" s="143"/>
      <c r="G395" s="143"/>
      <c r="H395" s="143"/>
      <c r="I395" s="143"/>
      <c r="J395" s="143"/>
      <c r="K395" s="143"/>
      <c r="L395" s="143"/>
      <c r="M395" s="143"/>
      <c r="N395" s="145"/>
      <c r="O395" s="145"/>
      <c r="P395" s="143">
        <v>617</v>
      </c>
      <c r="Q395" s="145">
        <v>1099687.19</v>
      </c>
      <c r="R395" s="145"/>
      <c r="S395" s="145"/>
      <c r="T395" s="145"/>
      <c r="U395" s="145"/>
      <c r="V395" s="143"/>
      <c r="W395" s="143">
        <v>147569</v>
      </c>
      <c r="X395" s="143"/>
      <c r="Y395" s="124"/>
      <c r="Z395" s="122"/>
      <c r="AA395" s="122"/>
      <c r="AB395" s="122"/>
    </row>
    <row r="396" spans="1:31" ht="18.75" customHeight="1" x14ac:dyDescent="0.25">
      <c r="A396" s="144">
        <f t="shared" si="33"/>
        <v>248</v>
      </c>
      <c r="B396" s="5" t="s">
        <v>73</v>
      </c>
      <c r="C396" s="145">
        <f t="shared" si="32"/>
        <v>517095.01</v>
      </c>
      <c r="D396" s="145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>
        <f>151589.41+365505.6</f>
        <v>517095.01</v>
      </c>
      <c r="X396" s="143"/>
      <c r="Y396" s="124"/>
      <c r="Z396" s="122"/>
      <c r="AB396" s="122"/>
    </row>
    <row r="397" spans="1:31" ht="18.75" customHeight="1" x14ac:dyDescent="0.25">
      <c r="A397" s="144">
        <f t="shared" si="33"/>
        <v>249</v>
      </c>
      <c r="B397" s="5" t="s">
        <v>414</v>
      </c>
      <c r="C397" s="145">
        <f t="shared" si="32"/>
        <v>452917.70999999996</v>
      </c>
      <c r="D397" s="145"/>
      <c r="E397" s="143"/>
      <c r="F397" s="143"/>
      <c r="G397" s="143"/>
      <c r="H397" s="143"/>
      <c r="I397" s="143"/>
      <c r="J397" s="143"/>
      <c r="K397" s="143"/>
      <c r="L397" s="143"/>
      <c r="M397" s="143"/>
      <c r="N397" s="145"/>
      <c r="O397" s="145"/>
      <c r="P397" s="143"/>
      <c r="Q397" s="143"/>
      <c r="R397" s="145"/>
      <c r="S397" s="145"/>
      <c r="T397" s="145"/>
      <c r="U397" s="145"/>
      <c r="V397" s="143"/>
      <c r="W397" s="143">
        <f>307123.93+145793.78</f>
        <v>452917.70999999996</v>
      </c>
      <c r="X397" s="143"/>
      <c r="Y397" s="124"/>
      <c r="Z397" s="122"/>
      <c r="AB397" s="122"/>
    </row>
    <row r="398" spans="1:31" ht="18.75" customHeight="1" x14ac:dyDescent="0.25">
      <c r="A398" s="144">
        <f t="shared" si="33"/>
        <v>250</v>
      </c>
      <c r="B398" s="5" t="s">
        <v>74</v>
      </c>
      <c r="C398" s="145">
        <f>D398+K398+M398+O398+Q398+S398+U398+V398+W398+X398</f>
        <v>453576.25</v>
      </c>
      <c r="D398" s="145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>
        <f>307622.37+145953.88</f>
        <v>453576.25</v>
      </c>
      <c r="X398" s="143"/>
      <c r="Y398" s="124"/>
      <c r="Z398" s="122"/>
      <c r="AB398" s="122"/>
    </row>
    <row r="399" spans="1:31" ht="18.75" customHeight="1" x14ac:dyDescent="0.25">
      <c r="A399" s="144">
        <f t="shared" si="33"/>
        <v>251</v>
      </c>
      <c r="B399" s="5" t="s">
        <v>75</v>
      </c>
      <c r="C399" s="145">
        <f>D399+K399+M399+O399+Q399+S399+U399+V399+W399+X399</f>
        <v>1751431.27</v>
      </c>
      <c r="D399" s="145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>
        <v>551</v>
      </c>
      <c r="Q399" s="145">
        <v>1430830.05</v>
      </c>
      <c r="R399" s="143"/>
      <c r="S399" s="143"/>
      <c r="T399" s="143"/>
      <c r="U399" s="143"/>
      <c r="V399" s="143"/>
      <c r="W399" s="143">
        <f>155684.25+164916.97</f>
        <v>320601.21999999997</v>
      </c>
      <c r="X399" s="143"/>
      <c r="Y399" s="124"/>
      <c r="Z399" s="122"/>
      <c r="AA399" s="122"/>
      <c r="AB399" s="122"/>
    </row>
    <row r="400" spans="1:31" ht="18.75" customHeight="1" x14ac:dyDescent="0.25">
      <c r="A400" s="144">
        <f t="shared" si="33"/>
        <v>252</v>
      </c>
      <c r="B400" s="5" t="s">
        <v>415</v>
      </c>
      <c r="C400" s="145">
        <f>D400+K400+M400+O400+Q400+S400+U400+V400+W400+X400</f>
        <v>453576.25</v>
      </c>
      <c r="D400" s="145"/>
      <c r="E400" s="143"/>
      <c r="F400" s="143"/>
      <c r="G400" s="143"/>
      <c r="H400" s="143"/>
      <c r="I400" s="143"/>
      <c r="J400" s="143"/>
      <c r="K400" s="143"/>
      <c r="L400" s="143"/>
      <c r="M400" s="143"/>
      <c r="N400" s="145"/>
      <c r="O400" s="145"/>
      <c r="P400" s="143"/>
      <c r="Q400" s="143"/>
      <c r="R400" s="145"/>
      <c r="S400" s="145"/>
      <c r="T400" s="145"/>
      <c r="U400" s="145"/>
      <c r="V400" s="143"/>
      <c r="W400" s="143">
        <f>307622.37+145953.88</f>
        <v>453576.25</v>
      </c>
      <c r="X400" s="143"/>
      <c r="Y400" s="124"/>
      <c r="Z400" s="122"/>
      <c r="AB400" s="122"/>
    </row>
    <row r="401" spans="1:31" ht="18.75" customHeight="1" x14ac:dyDescent="0.25">
      <c r="A401" s="144">
        <f t="shared" si="33"/>
        <v>253</v>
      </c>
      <c r="B401" s="5" t="s">
        <v>416</v>
      </c>
      <c r="C401" s="145">
        <f>D401+K401+M401+O401+Q401+S401+U401+V401+W401+X401</f>
        <v>453576.25</v>
      </c>
      <c r="D401" s="145"/>
      <c r="E401" s="143"/>
      <c r="F401" s="143"/>
      <c r="G401" s="143"/>
      <c r="H401" s="143"/>
      <c r="I401" s="143"/>
      <c r="J401" s="143"/>
      <c r="K401" s="143"/>
      <c r="L401" s="143"/>
      <c r="M401" s="143"/>
      <c r="N401" s="145"/>
      <c r="O401" s="145"/>
      <c r="P401" s="143"/>
      <c r="Q401" s="143"/>
      <c r="R401" s="145"/>
      <c r="S401" s="145"/>
      <c r="T401" s="145"/>
      <c r="U401" s="145"/>
      <c r="V401" s="143"/>
      <c r="W401" s="143">
        <f>307622.37+145953.88</f>
        <v>453576.25</v>
      </c>
      <c r="X401" s="143"/>
      <c r="Y401" s="124"/>
      <c r="Z401" s="122"/>
      <c r="AB401" s="122"/>
    </row>
    <row r="402" spans="1:31" ht="18.75" customHeight="1" x14ac:dyDescent="0.25">
      <c r="A402" s="203" t="s">
        <v>18</v>
      </c>
      <c r="B402" s="203"/>
      <c r="C402" s="143">
        <f>SUM(C392:C401)</f>
        <v>9028268.2195999995</v>
      </c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>
        <f t="shared" ref="P402:X402" si="34">SUM(P392:P401)</f>
        <v>3000</v>
      </c>
      <c r="Q402" s="143">
        <f t="shared" si="34"/>
        <v>5785853.2296000002</v>
      </c>
      <c r="R402" s="143"/>
      <c r="S402" s="143"/>
      <c r="T402" s="143"/>
      <c r="U402" s="143"/>
      <c r="V402" s="143"/>
      <c r="W402" s="143">
        <f t="shared" si="34"/>
        <v>3242414.99</v>
      </c>
      <c r="X402" s="143">
        <f t="shared" si="34"/>
        <v>0</v>
      </c>
      <c r="Y402" s="124"/>
      <c r="Z402" s="122"/>
      <c r="AA402" s="122"/>
      <c r="AB402" s="122"/>
      <c r="AE402" s="123"/>
    </row>
    <row r="403" spans="1:31" ht="18.75" customHeight="1" x14ac:dyDescent="0.25">
      <c r="A403" s="188" t="s">
        <v>76</v>
      </c>
      <c r="B403" s="188"/>
      <c r="C403" s="188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24"/>
      <c r="Z403" s="122"/>
      <c r="AB403" s="122"/>
    </row>
    <row r="404" spans="1:31" ht="18.75" customHeight="1" x14ac:dyDescent="0.25">
      <c r="A404" s="144">
        <f>A401+1</f>
        <v>254</v>
      </c>
      <c r="B404" s="5" t="s">
        <v>417</v>
      </c>
      <c r="C404" s="145">
        <f>D404+K404+M404+O404+Q404+S404+U404+V404+W404+X404</f>
        <v>345188.8</v>
      </c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3"/>
      <c r="W404" s="145">
        <v>345188.8</v>
      </c>
      <c r="X404" s="145"/>
      <c r="Y404" s="124"/>
      <c r="Z404" s="122"/>
      <c r="AA404" s="122"/>
      <c r="AB404" s="122"/>
    </row>
    <row r="405" spans="1:31" ht="18.75" customHeight="1" x14ac:dyDescent="0.25">
      <c r="A405" s="147">
        <f>A404+1</f>
        <v>255</v>
      </c>
      <c r="B405" s="140" t="s">
        <v>569</v>
      </c>
      <c r="C405" s="145">
        <f>D405+K405+M405+O405+Q405+S405+U405+V405+W405+X405</f>
        <v>1442761.6400000001</v>
      </c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3">
        <f>1100884.61+341877.03</f>
        <v>1442761.6400000001</v>
      </c>
      <c r="X405" s="142"/>
      <c r="Y405" s="129"/>
      <c r="Z405" s="122"/>
      <c r="AB405" s="122"/>
    </row>
    <row r="406" spans="1:31" ht="18.75" customHeight="1" x14ac:dyDescent="0.25">
      <c r="A406" s="147">
        <f>A405+1</f>
        <v>256</v>
      </c>
      <c r="B406" s="5" t="s">
        <v>418</v>
      </c>
      <c r="C406" s="145">
        <f>D406+K406+M406+O406+Q406+S406+U406+V406+W406+X406</f>
        <v>1445281.17</v>
      </c>
      <c r="D406" s="145"/>
      <c r="E406" s="145"/>
      <c r="F406" s="145"/>
      <c r="G406" s="145"/>
      <c r="H406" s="145"/>
      <c r="I406" s="145"/>
      <c r="J406" s="145"/>
      <c r="K406" s="145"/>
      <c r="L406" s="145">
        <v>672</v>
      </c>
      <c r="M406" s="145">
        <v>1110298.1299999999</v>
      </c>
      <c r="N406" s="145"/>
      <c r="O406" s="145"/>
      <c r="P406" s="145"/>
      <c r="Q406" s="145"/>
      <c r="R406" s="145"/>
      <c r="S406" s="145"/>
      <c r="T406" s="145"/>
      <c r="U406" s="145"/>
      <c r="V406" s="143"/>
      <c r="W406" s="145">
        <v>334983.03999999998</v>
      </c>
      <c r="X406" s="145"/>
      <c r="Y406" s="124"/>
      <c r="Z406" s="122"/>
      <c r="AB406" s="122"/>
    </row>
    <row r="407" spans="1:31" ht="18.75" customHeight="1" x14ac:dyDescent="0.25">
      <c r="A407" s="147">
        <f>A406+1</f>
        <v>257</v>
      </c>
      <c r="B407" s="5" t="s">
        <v>419</v>
      </c>
      <c r="C407" s="145">
        <f>D407+K407+M407+O407+Q407+S407+U407+V407+W407+X407</f>
        <v>2846512.88</v>
      </c>
      <c r="D407" s="145"/>
      <c r="E407" s="145"/>
      <c r="F407" s="145"/>
      <c r="G407" s="145"/>
      <c r="H407" s="145"/>
      <c r="I407" s="145"/>
      <c r="J407" s="145"/>
      <c r="K407" s="145"/>
      <c r="L407" s="145">
        <v>864</v>
      </c>
      <c r="M407" s="145">
        <v>1428614.22</v>
      </c>
      <c r="N407" s="145"/>
      <c r="O407" s="145"/>
      <c r="P407" s="145"/>
      <c r="Q407" s="145"/>
      <c r="R407" s="145"/>
      <c r="S407" s="145"/>
      <c r="T407" s="145"/>
      <c r="U407" s="145"/>
      <c r="V407" s="143"/>
      <c r="W407" s="145">
        <f>922165.5+495733.16</f>
        <v>1417898.66</v>
      </c>
      <c r="X407" s="145"/>
      <c r="Y407" s="124"/>
      <c r="Z407" s="122"/>
      <c r="AB407" s="122"/>
    </row>
    <row r="408" spans="1:31" ht="18.75" customHeight="1" x14ac:dyDescent="0.25">
      <c r="A408" s="147">
        <f>A407+1</f>
        <v>258</v>
      </c>
      <c r="B408" s="140" t="s">
        <v>570</v>
      </c>
      <c r="C408" s="145">
        <f>D408+K408+M408+O408+Q408+S408+U408+V408+W408+X408</f>
        <v>772681</v>
      </c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3">
        <f>568522.52+204158.48</f>
        <v>772681</v>
      </c>
      <c r="X408" s="142"/>
      <c r="Y408" s="129"/>
      <c r="Z408" s="122"/>
      <c r="AB408" s="122"/>
    </row>
    <row r="409" spans="1:31" ht="18.75" customHeight="1" x14ac:dyDescent="0.25">
      <c r="A409" s="203" t="s">
        <v>18</v>
      </c>
      <c r="B409" s="203"/>
      <c r="C409" s="145">
        <f>SUM(C404:C408)</f>
        <v>6852425.4900000002</v>
      </c>
      <c r="D409" s="145"/>
      <c r="E409" s="145"/>
      <c r="F409" s="145"/>
      <c r="G409" s="145"/>
      <c r="H409" s="145"/>
      <c r="I409" s="145"/>
      <c r="J409" s="145"/>
      <c r="K409" s="145"/>
      <c r="L409" s="145">
        <f>SUM(L404:L408)</f>
        <v>1536</v>
      </c>
      <c r="M409" s="145">
        <f>SUM(M404:M408)</f>
        <v>2538912.3499999996</v>
      </c>
      <c r="N409" s="145"/>
      <c r="O409" s="145"/>
      <c r="P409" s="145"/>
      <c r="Q409" s="145"/>
      <c r="R409" s="145"/>
      <c r="S409" s="145"/>
      <c r="T409" s="145"/>
      <c r="U409" s="145"/>
      <c r="V409" s="145"/>
      <c r="W409" s="145">
        <f>SUM(W404:W408)</f>
        <v>4313513.1399999997</v>
      </c>
      <c r="X409" s="145">
        <f>SUM(X404:X408)</f>
        <v>0</v>
      </c>
      <c r="Y409" s="124"/>
      <c r="Z409" s="122"/>
      <c r="AA409" s="122"/>
      <c r="AB409" s="122"/>
      <c r="AE409" s="123"/>
    </row>
    <row r="410" spans="1:31" ht="18.75" customHeight="1" x14ac:dyDescent="0.25">
      <c r="A410" s="189" t="s">
        <v>77</v>
      </c>
      <c r="B410" s="189"/>
      <c r="C410" s="189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24"/>
      <c r="Z410" s="122"/>
      <c r="AB410" s="122"/>
    </row>
    <row r="411" spans="1:31" ht="18.75" customHeight="1" x14ac:dyDescent="0.25">
      <c r="A411" s="144">
        <f>A408+1</f>
        <v>259</v>
      </c>
      <c r="B411" s="5" t="s">
        <v>420</v>
      </c>
      <c r="C411" s="145">
        <f>D411+K411+M411+O411+Q411+S411+U411+V411+W411+X411</f>
        <v>3044459.32</v>
      </c>
      <c r="D411" s="145"/>
      <c r="E411" s="145"/>
      <c r="F411" s="145"/>
      <c r="G411" s="145"/>
      <c r="H411" s="145"/>
      <c r="I411" s="145"/>
      <c r="J411" s="145"/>
      <c r="K411" s="145"/>
      <c r="L411" s="145">
        <v>452</v>
      </c>
      <c r="M411" s="145">
        <v>2713871.26</v>
      </c>
      <c r="N411" s="145"/>
      <c r="O411" s="145"/>
      <c r="P411" s="145"/>
      <c r="Q411" s="145"/>
      <c r="R411" s="145"/>
      <c r="S411" s="145"/>
      <c r="T411" s="145"/>
      <c r="U411" s="145"/>
      <c r="V411" s="145"/>
      <c r="W411" s="145">
        <v>330588.06</v>
      </c>
      <c r="X411" s="145"/>
      <c r="Y411" s="124"/>
      <c r="Z411" s="122"/>
      <c r="AB411" s="122"/>
    </row>
    <row r="412" spans="1:31" ht="18.75" customHeight="1" x14ac:dyDescent="0.25">
      <c r="A412" s="144">
        <f>A411+1</f>
        <v>260</v>
      </c>
      <c r="B412" s="5" t="s">
        <v>421</v>
      </c>
      <c r="C412" s="145">
        <f>D412+K412+M412+O412+Q412+S412+U412+V412+W412+X412</f>
        <v>3223828.0599999996</v>
      </c>
      <c r="D412" s="145"/>
      <c r="E412" s="145"/>
      <c r="F412" s="145"/>
      <c r="G412" s="145"/>
      <c r="H412" s="145"/>
      <c r="I412" s="145"/>
      <c r="J412" s="145"/>
      <c r="K412" s="145"/>
      <c r="L412" s="145">
        <v>452</v>
      </c>
      <c r="M412" s="145">
        <v>2713871.26</v>
      </c>
      <c r="N412" s="145"/>
      <c r="O412" s="145"/>
      <c r="P412" s="145"/>
      <c r="Q412" s="145"/>
      <c r="R412" s="145"/>
      <c r="S412" s="145"/>
      <c r="T412" s="145"/>
      <c r="U412" s="145"/>
      <c r="V412" s="145"/>
      <c r="W412" s="145">
        <f>360375.36+149581.44</f>
        <v>509956.8</v>
      </c>
      <c r="X412" s="145"/>
      <c r="Y412" s="124"/>
      <c r="Z412" s="122"/>
      <c r="AB412" s="122"/>
    </row>
    <row r="413" spans="1:31" ht="18.75" customHeight="1" x14ac:dyDescent="0.25">
      <c r="A413" s="144">
        <f>A412+1</f>
        <v>261</v>
      </c>
      <c r="B413" s="5" t="s">
        <v>422</v>
      </c>
      <c r="C413" s="145">
        <f>D413+K413+M413+O413+Q413+S413+U413+V413+W413+X413</f>
        <v>2723243.77</v>
      </c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>
        <v>534</v>
      </c>
      <c r="Q413" s="145">
        <v>2051060.66</v>
      </c>
      <c r="R413" s="145"/>
      <c r="S413" s="145"/>
      <c r="T413" s="145"/>
      <c r="U413" s="145"/>
      <c r="V413" s="145"/>
      <c r="W413" s="145">
        <f>518776.53+153406.58</f>
        <v>672183.11</v>
      </c>
      <c r="X413" s="145"/>
      <c r="Y413" s="124"/>
      <c r="Z413" s="122"/>
      <c r="AA413" s="122"/>
      <c r="AB413" s="122"/>
    </row>
    <row r="414" spans="1:31" ht="18.75" customHeight="1" x14ac:dyDescent="0.25">
      <c r="A414" s="144">
        <f>A413+1</f>
        <v>262</v>
      </c>
      <c r="B414" s="5" t="s">
        <v>423</v>
      </c>
      <c r="C414" s="145">
        <f>D414+K414+M414+O414+Q414+S414+U414+V414+W414+X414</f>
        <v>1600580.52</v>
      </c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>
        <v>534</v>
      </c>
      <c r="Q414" s="145">
        <v>1428372.3</v>
      </c>
      <c r="R414" s="145"/>
      <c r="S414" s="145"/>
      <c r="T414" s="145"/>
      <c r="U414" s="145"/>
      <c r="V414" s="145"/>
      <c r="W414" s="145">
        <v>172208.22</v>
      </c>
      <c r="X414" s="145"/>
      <c r="Y414" s="124"/>
      <c r="Z414" s="122"/>
      <c r="AA414" s="122"/>
      <c r="AB414" s="122"/>
    </row>
    <row r="415" spans="1:31" ht="18.75" customHeight="1" x14ac:dyDescent="0.25">
      <c r="A415" s="203" t="s">
        <v>18</v>
      </c>
      <c r="B415" s="203"/>
      <c r="C415" s="145">
        <f>SUM(C411:C414)</f>
        <v>10592111.669999998</v>
      </c>
      <c r="D415" s="145"/>
      <c r="E415" s="145"/>
      <c r="F415" s="145"/>
      <c r="G415" s="145"/>
      <c r="H415" s="145"/>
      <c r="I415" s="145"/>
      <c r="J415" s="145"/>
      <c r="K415" s="145"/>
      <c r="L415" s="145">
        <f t="shared" ref="L415:X415" si="35">SUM(L411:L414)</f>
        <v>904</v>
      </c>
      <c r="M415" s="145">
        <f t="shared" si="35"/>
        <v>5427742.5199999996</v>
      </c>
      <c r="N415" s="145"/>
      <c r="O415" s="145"/>
      <c r="P415" s="145">
        <f t="shared" si="35"/>
        <v>1068</v>
      </c>
      <c r="Q415" s="145">
        <f t="shared" si="35"/>
        <v>3479432.96</v>
      </c>
      <c r="R415" s="145"/>
      <c r="S415" s="145"/>
      <c r="T415" s="145"/>
      <c r="U415" s="145"/>
      <c r="V415" s="145"/>
      <c r="W415" s="145">
        <f t="shared" si="35"/>
        <v>1684936.19</v>
      </c>
      <c r="X415" s="145">
        <f t="shared" si="35"/>
        <v>0</v>
      </c>
      <c r="Y415" s="124"/>
      <c r="Z415" s="122"/>
      <c r="AA415" s="122"/>
      <c r="AB415" s="122"/>
      <c r="AE415" s="123"/>
    </row>
    <row r="416" spans="1:31" ht="18.75" customHeight="1" x14ac:dyDescent="0.25">
      <c r="A416" s="188" t="s">
        <v>78</v>
      </c>
      <c r="B416" s="188"/>
      <c r="C416" s="188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24"/>
      <c r="Z416" s="122"/>
      <c r="AB416" s="122"/>
    </row>
    <row r="417" spans="1:31" ht="18.75" customHeight="1" x14ac:dyDescent="0.25">
      <c r="A417" s="144">
        <f>A414+1</f>
        <v>263</v>
      </c>
      <c r="B417" s="5" t="s">
        <v>81</v>
      </c>
      <c r="C417" s="145">
        <f>D417+K417+M417+O417+Q417+S417+U417+V417+W417+X417</f>
        <v>2295303.7200000002</v>
      </c>
      <c r="D417" s="145"/>
      <c r="E417" s="143"/>
      <c r="F417" s="143"/>
      <c r="G417" s="143"/>
      <c r="H417" s="143"/>
      <c r="I417" s="143"/>
      <c r="J417" s="143"/>
      <c r="K417" s="143"/>
      <c r="L417" s="143">
        <v>352</v>
      </c>
      <c r="M417" s="145">
        <v>2295303.7200000002</v>
      </c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24"/>
      <c r="Z417" s="122"/>
      <c r="AB417" s="122"/>
    </row>
    <row r="418" spans="1:31" ht="18.75" customHeight="1" x14ac:dyDescent="0.25">
      <c r="A418" s="144">
        <f>A417+1</f>
        <v>264</v>
      </c>
      <c r="B418" s="5" t="s">
        <v>80</v>
      </c>
      <c r="C418" s="145">
        <f>D418+K418+M418+O418+Q418+S418+U418+V418+W418+X418</f>
        <v>2295303.7200000002</v>
      </c>
      <c r="D418" s="145"/>
      <c r="E418" s="143"/>
      <c r="F418" s="143"/>
      <c r="G418" s="143"/>
      <c r="H418" s="143"/>
      <c r="I418" s="143"/>
      <c r="J418" s="143"/>
      <c r="K418" s="143"/>
      <c r="L418" s="143">
        <v>352</v>
      </c>
      <c r="M418" s="145">
        <v>2295303.7200000002</v>
      </c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24"/>
      <c r="Z418" s="122"/>
      <c r="AB418" s="122"/>
    </row>
    <row r="419" spans="1:31" ht="18.75" customHeight="1" x14ac:dyDescent="0.25">
      <c r="A419" s="144">
        <f>A418+1</f>
        <v>265</v>
      </c>
      <c r="B419" s="5" t="s">
        <v>79</v>
      </c>
      <c r="C419" s="145">
        <f>D419+K419+M419+O419+Q419+S419+U419+V419+W419+X419</f>
        <v>1513673.49</v>
      </c>
      <c r="D419" s="145"/>
      <c r="E419" s="143"/>
      <c r="F419" s="143"/>
      <c r="G419" s="143"/>
      <c r="H419" s="143"/>
      <c r="I419" s="143"/>
      <c r="J419" s="143"/>
      <c r="K419" s="143"/>
      <c r="L419" s="143">
        <v>734</v>
      </c>
      <c r="M419" s="145">
        <v>1215640.81</v>
      </c>
      <c r="N419" s="143"/>
      <c r="O419" s="143"/>
      <c r="P419" s="143"/>
      <c r="Q419" s="143"/>
      <c r="R419" s="143"/>
      <c r="S419" s="143"/>
      <c r="T419" s="143"/>
      <c r="U419" s="143"/>
      <c r="V419" s="143"/>
      <c r="W419" s="143">
        <v>298032.68</v>
      </c>
      <c r="X419" s="143"/>
      <c r="Y419" s="124"/>
      <c r="Z419" s="122"/>
      <c r="AB419" s="122"/>
    </row>
    <row r="420" spans="1:31" ht="18.75" customHeight="1" x14ac:dyDescent="0.25">
      <c r="A420" s="144">
        <f>A419+1</f>
        <v>266</v>
      </c>
      <c r="B420" s="140" t="s">
        <v>568</v>
      </c>
      <c r="C420" s="145">
        <f>D420+K420+M420+O420+Q420+S420+U420+V420+W420+X420</f>
        <v>1971071</v>
      </c>
      <c r="D420" s="145">
        <f>E420+F420+G420+H420+I420</f>
        <v>1971071</v>
      </c>
      <c r="E420" s="143">
        <v>1971071</v>
      </c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24"/>
      <c r="Z420" s="122"/>
      <c r="AB420" s="122"/>
    </row>
    <row r="421" spans="1:31" ht="18.75" customHeight="1" x14ac:dyDescent="0.25">
      <c r="A421" s="203" t="s">
        <v>18</v>
      </c>
      <c r="B421" s="203"/>
      <c r="C421" s="143">
        <f>SUM(C417:C420)</f>
        <v>8075351.9300000006</v>
      </c>
      <c r="D421" s="143">
        <f>SUM(D417:D420)</f>
        <v>1971071</v>
      </c>
      <c r="E421" s="143">
        <f>SUM(E417:E420)</f>
        <v>1971071</v>
      </c>
      <c r="F421" s="143"/>
      <c r="G421" s="143"/>
      <c r="H421" s="143"/>
      <c r="I421" s="143"/>
      <c r="J421" s="143"/>
      <c r="K421" s="143"/>
      <c r="L421" s="143">
        <f>SUM(L417:L420)</f>
        <v>1438</v>
      </c>
      <c r="M421" s="143">
        <f>SUM(M417:M420)</f>
        <v>5806248.25</v>
      </c>
      <c r="N421" s="143"/>
      <c r="O421" s="143"/>
      <c r="P421" s="143"/>
      <c r="Q421" s="143"/>
      <c r="R421" s="143"/>
      <c r="S421" s="143"/>
      <c r="T421" s="143"/>
      <c r="U421" s="143"/>
      <c r="V421" s="143"/>
      <c r="W421" s="143">
        <f>SUM(W417:W420)</f>
        <v>298032.68</v>
      </c>
      <c r="X421" s="143">
        <f>SUM(X417:X420)</f>
        <v>0</v>
      </c>
      <c r="Y421" s="124"/>
      <c r="Z421" s="122"/>
      <c r="AA421" s="122"/>
      <c r="AB421" s="122"/>
      <c r="AE421" s="123"/>
    </row>
    <row r="422" spans="1:31" ht="18.75" customHeight="1" x14ac:dyDescent="0.25">
      <c r="A422" s="189" t="s">
        <v>82</v>
      </c>
      <c r="B422" s="189"/>
      <c r="C422" s="189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24"/>
      <c r="Z422" s="122"/>
      <c r="AB422" s="122"/>
    </row>
    <row r="423" spans="1:31" ht="18.75" customHeight="1" x14ac:dyDescent="0.25">
      <c r="A423" s="144">
        <f>A420+1</f>
        <v>267</v>
      </c>
      <c r="B423" s="5" t="s">
        <v>424</v>
      </c>
      <c r="C423" s="145">
        <f t="shared" ref="C423:C428" si="36">D423+K423+M423+O423+Q423+S423+U423+V423+W423+X423</f>
        <v>306637.29000000004</v>
      </c>
      <c r="D423" s="145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>
        <f>169464.39+137172.9</f>
        <v>306637.29000000004</v>
      </c>
      <c r="X423" s="143"/>
      <c r="Y423" s="124"/>
      <c r="Z423" s="122"/>
      <c r="AB423" s="122"/>
    </row>
    <row r="424" spans="1:31" ht="18.75" customHeight="1" x14ac:dyDescent="0.25">
      <c r="A424" s="144">
        <f t="shared" ref="A424:A429" si="37">A423+1</f>
        <v>268</v>
      </c>
      <c r="B424" s="5" t="s">
        <v>425</v>
      </c>
      <c r="C424" s="145">
        <f t="shared" si="36"/>
        <v>3527664.5</v>
      </c>
      <c r="D424" s="145"/>
      <c r="E424" s="143"/>
      <c r="F424" s="143"/>
      <c r="G424" s="143"/>
      <c r="H424" s="143"/>
      <c r="I424" s="143"/>
      <c r="J424" s="143"/>
      <c r="K424" s="143"/>
      <c r="L424" s="143">
        <v>331.2</v>
      </c>
      <c r="M424" s="145">
        <v>3235056.54</v>
      </c>
      <c r="N424" s="143"/>
      <c r="O424" s="143"/>
      <c r="P424" s="143"/>
      <c r="Q424" s="143"/>
      <c r="R424" s="143"/>
      <c r="S424" s="143"/>
      <c r="T424" s="143"/>
      <c r="U424" s="143"/>
      <c r="V424" s="143"/>
      <c r="W424" s="143">
        <f>159066.79+133541.17</f>
        <v>292607.96000000002</v>
      </c>
      <c r="X424" s="143"/>
      <c r="Y424" s="124"/>
      <c r="Z424" s="122"/>
      <c r="AB424" s="122"/>
    </row>
    <row r="425" spans="1:31" ht="18.75" customHeight="1" x14ac:dyDescent="0.25">
      <c r="A425" s="144">
        <f t="shared" si="37"/>
        <v>269</v>
      </c>
      <c r="B425" s="5" t="s">
        <v>426</v>
      </c>
      <c r="C425" s="145">
        <f t="shared" si="36"/>
        <v>269048.79000000004</v>
      </c>
      <c r="D425" s="145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>
        <f>148065.92+120982.87</f>
        <v>269048.79000000004</v>
      </c>
      <c r="X425" s="143"/>
      <c r="Y425" s="124"/>
      <c r="Z425" s="122"/>
      <c r="AB425" s="122"/>
    </row>
    <row r="426" spans="1:31" ht="18.75" customHeight="1" x14ac:dyDescent="0.25">
      <c r="A426" s="144">
        <f t="shared" si="37"/>
        <v>270</v>
      </c>
      <c r="B426" s="5" t="s">
        <v>427</v>
      </c>
      <c r="C426" s="145">
        <f t="shared" si="36"/>
        <v>269048.88</v>
      </c>
      <c r="D426" s="145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>
        <f>148065.92+120982.96</f>
        <v>269048.88</v>
      </c>
      <c r="X426" s="143"/>
      <c r="Y426" s="124"/>
      <c r="Z426" s="122"/>
      <c r="AB426" s="122"/>
    </row>
    <row r="427" spans="1:31" ht="18.75" customHeight="1" x14ac:dyDescent="0.25">
      <c r="A427" s="144">
        <f t="shared" si="37"/>
        <v>271</v>
      </c>
      <c r="B427" s="5" t="s">
        <v>428</v>
      </c>
      <c r="C427" s="145">
        <f t="shared" si="36"/>
        <v>269048.88</v>
      </c>
      <c r="D427" s="145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>
        <f>148065.92+120982.96</f>
        <v>269048.88</v>
      </c>
      <c r="X427" s="143"/>
      <c r="Y427" s="124"/>
      <c r="Z427" s="122"/>
      <c r="AB427" s="122"/>
    </row>
    <row r="428" spans="1:31" ht="18.75" customHeight="1" x14ac:dyDescent="0.25">
      <c r="A428" s="144">
        <f t="shared" si="37"/>
        <v>272</v>
      </c>
      <c r="B428" s="5" t="s">
        <v>429</v>
      </c>
      <c r="C428" s="145">
        <f t="shared" si="36"/>
        <v>269048.88</v>
      </c>
      <c r="D428" s="145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>
        <f>148065.92+120982.96</f>
        <v>269048.88</v>
      </c>
      <c r="X428" s="143"/>
      <c r="Y428" s="124"/>
      <c r="Z428" s="122"/>
      <c r="AB428" s="122"/>
    </row>
    <row r="429" spans="1:31" ht="18.75" customHeight="1" x14ac:dyDescent="0.25">
      <c r="A429" s="144">
        <f t="shared" si="37"/>
        <v>273</v>
      </c>
      <c r="B429" s="5" t="s">
        <v>430</v>
      </c>
      <c r="C429" s="145">
        <f>D429+K429+M429+O429+Q429+S429+U429+V429+W429+X429</f>
        <v>4341900.49</v>
      </c>
      <c r="D429" s="145"/>
      <c r="E429" s="143"/>
      <c r="F429" s="143"/>
      <c r="G429" s="143"/>
      <c r="H429" s="143"/>
      <c r="I429" s="143"/>
      <c r="J429" s="143"/>
      <c r="K429" s="143"/>
      <c r="L429" s="143">
        <v>600</v>
      </c>
      <c r="M429" s="145">
        <v>4039052</v>
      </c>
      <c r="N429" s="143"/>
      <c r="O429" s="143"/>
      <c r="P429" s="143"/>
      <c r="Q429" s="143"/>
      <c r="R429" s="143"/>
      <c r="S429" s="143"/>
      <c r="T429" s="143"/>
      <c r="U429" s="143"/>
      <c r="V429" s="143"/>
      <c r="W429" s="143">
        <f>146517.15+156331.34</f>
        <v>302848.49</v>
      </c>
      <c r="X429" s="143"/>
      <c r="Y429" s="124"/>
      <c r="Z429" s="122"/>
      <c r="AB429" s="122"/>
    </row>
    <row r="430" spans="1:31" ht="18.75" customHeight="1" x14ac:dyDescent="0.25">
      <c r="A430" s="203" t="s">
        <v>18</v>
      </c>
      <c r="B430" s="203"/>
      <c r="C430" s="145">
        <f>SUM(C423:C429)</f>
        <v>9252397.7100000009</v>
      </c>
      <c r="D430" s="145"/>
      <c r="E430" s="145"/>
      <c r="F430" s="145"/>
      <c r="G430" s="145"/>
      <c r="H430" s="145"/>
      <c r="I430" s="145"/>
      <c r="J430" s="145"/>
      <c r="K430" s="145"/>
      <c r="L430" s="145">
        <f>SUM(L423:L429)</f>
        <v>931.2</v>
      </c>
      <c r="M430" s="145">
        <f>SUM(M423:M429)</f>
        <v>7274108.54</v>
      </c>
      <c r="N430" s="145"/>
      <c r="O430" s="145"/>
      <c r="P430" s="145"/>
      <c r="Q430" s="145"/>
      <c r="R430" s="145"/>
      <c r="S430" s="145"/>
      <c r="T430" s="145"/>
      <c r="U430" s="145"/>
      <c r="V430" s="145"/>
      <c r="W430" s="145">
        <f>SUM(W423:W429)</f>
        <v>1978289.1699999997</v>
      </c>
      <c r="X430" s="145">
        <f>SUM(X423:X429)</f>
        <v>0</v>
      </c>
      <c r="Y430" s="124"/>
      <c r="Z430" s="122"/>
      <c r="AA430" s="122"/>
      <c r="AB430" s="122"/>
      <c r="AE430" s="123"/>
    </row>
    <row r="431" spans="1:31" ht="18.75" customHeight="1" x14ac:dyDescent="0.25">
      <c r="A431" s="188" t="s">
        <v>83</v>
      </c>
      <c r="B431" s="188"/>
      <c r="C431" s="188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24"/>
      <c r="Z431" s="122"/>
      <c r="AB431" s="122"/>
    </row>
    <row r="432" spans="1:31" ht="18.75" customHeight="1" x14ac:dyDescent="0.2">
      <c r="A432" s="147">
        <f>A429+1</f>
        <v>274</v>
      </c>
      <c r="B432" s="14" t="s">
        <v>431</v>
      </c>
      <c r="C432" s="145">
        <f>D432+K432+M432+O432+Q432+S432+U432+V432+W432+X432</f>
        <v>4816328.17</v>
      </c>
      <c r="D432" s="145"/>
      <c r="E432" s="143"/>
      <c r="F432" s="143"/>
      <c r="G432" s="143"/>
      <c r="H432" s="143"/>
      <c r="I432" s="143"/>
      <c r="J432" s="143"/>
      <c r="K432" s="143"/>
      <c r="L432" s="143">
        <v>658.08</v>
      </c>
      <c r="M432" s="145">
        <v>4816328.17</v>
      </c>
      <c r="N432" s="143"/>
      <c r="O432" s="145"/>
      <c r="P432" s="145"/>
      <c r="Q432" s="145"/>
      <c r="R432" s="145"/>
      <c r="S432" s="145"/>
      <c r="T432" s="143"/>
      <c r="U432" s="143"/>
      <c r="V432" s="143"/>
      <c r="W432" s="145"/>
      <c r="X432" s="145"/>
      <c r="Y432" s="124"/>
      <c r="Z432" s="122"/>
      <c r="AB432" s="122"/>
    </row>
    <row r="433" spans="1:31" ht="18.75" customHeight="1" x14ac:dyDescent="0.2">
      <c r="A433" s="147">
        <f>A432+1</f>
        <v>275</v>
      </c>
      <c r="B433" s="14" t="s">
        <v>432</v>
      </c>
      <c r="C433" s="145">
        <f>D433+K433+M433+O433+Q433+S433+U433+V433+W433+X433</f>
        <v>4943246.58</v>
      </c>
      <c r="D433" s="145"/>
      <c r="E433" s="143"/>
      <c r="F433" s="143"/>
      <c r="G433" s="143"/>
      <c r="H433" s="143"/>
      <c r="I433" s="143"/>
      <c r="J433" s="143"/>
      <c r="K433" s="143"/>
      <c r="L433" s="143">
        <v>639.84</v>
      </c>
      <c r="M433" s="145">
        <v>4943246.58</v>
      </c>
      <c r="N433" s="143"/>
      <c r="O433" s="145"/>
      <c r="P433" s="145"/>
      <c r="Q433" s="145"/>
      <c r="R433" s="145"/>
      <c r="S433" s="145"/>
      <c r="T433" s="143"/>
      <c r="U433" s="143"/>
      <c r="V433" s="143"/>
      <c r="W433" s="145"/>
      <c r="X433" s="145"/>
      <c r="Y433" s="124"/>
      <c r="Z433" s="122"/>
      <c r="AB433" s="122"/>
    </row>
    <row r="434" spans="1:31" ht="18.75" customHeight="1" x14ac:dyDescent="0.25">
      <c r="A434" s="147">
        <f>A433+1</f>
        <v>276</v>
      </c>
      <c r="B434" s="140" t="s">
        <v>571</v>
      </c>
      <c r="C434" s="145">
        <f>D434+K434+M434+O434+Q434+S434+U434+V434+W434+X434</f>
        <v>188420.38</v>
      </c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3">
        <v>188420.38</v>
      </c>
      <c r="X434" s="142"/>
      <c r="Y434" s="124"/>
      <c r="Z434" s="122"/>
      <c r="AB434" s="122"/>
    </row>
    <row r="435" spans="1:31" ht="18.75" customHeight="1" x14ac:dyDescent="0.25">
      <c r="A435" s="203" t="s">
        <v>18</v>
      </c>
      <c r="B435" s="203"/>
      <c r="C435" s="145">
        <f>SUM(C432:C434)</f>
        <v>9947995.1300000008</v>
      </c>
      <c r="D435" s="145"/>
      <c r="E435" s="145"/>
      <c r="F435" s="145"/>
      <c r="G435" s="145"/>
      <c r="H435" s="145"/>
      <c r="I435" s="145"/>
      <c r="J435" s="145"/>
      <c r="K435" s="145"/>
      <c r="L435" s="145">
        <f>SUM(L432:L434)</f>
        <v>1297.92</v>
      </c>
      <c r="M435" s="145">
        <f>SUM(M432:M434)</f>
        <v>9759574.75</v>
      </c>
      <c r="N435" s="145"/>
      <c r="O435" s="145"/>
      <c r="P435" s="145"/>
      <c r="Q435" s="145"/>
      <c r="R435" s="145"/>
      <c r="S435" s="145"/>
      <c r="T435" s="145"/>
      <c r="U435" s="145"/>
      <c r="V435" s="145"/>
      <c r="W435" s="145">
        <f>SUM(W432:W434)</f>
        <v>188420.38</v>
      </c>
      <c r="X435" s="145"/>
      <c r="Y435" s="124"/>
      <c r="Z435" s="122"/>
      <c r="AA435" s="122"/>
      <c r="AB435" s="122"/>
      <c r="AE435" s="123"/>
    </row>
    <row r="436" spans="1:31" s="134" customFormat="1" ht="18.75" customHeight="1" x14ac:dyDescent="0.25">
      <c r="A436" s="188" t="s">
        <v>84</v>
      </c>
      <c r="B436" s="188"/>
      <c r="C436" s="149">
        <f>C390+C402+C409+C415+C421+C430+C435</f>
        <v>65371032.159599997</v>
      </c>
      <c r="D436" s="149">
        <f>D390+D402+D409+D415+D421+D430+D435</f>
        <v>1971071</v>
      </c>
      <c r="E436" s="149">
        <f>E390+E402+E409+E415+E421+E430+E435</f>
        <v>1971071</v>
      </c>
      <c r="F436" s="149"/>
      <c r="G436" s="149"/>
      <c r="H436" s="149"/>
      <c r="I436" s="149"/>
      <c r="J436" s="149"/>
      <c r="K436" s="149"/>
      <c r="L436" s="149">
        <f>L390+L402+L409+L415+L421+L430+L435</f>
        <v>8078.12</v>
      </c>
      <c r="M436" s="149">
        <f>M390+M402+M409+M415+M421+M430+M435</f>
        <v>39389888.899999999</v>
      </c>
      <c r="N436" s="149"/>
      <c r="O436" s="149"/>
      <c r="P436" s="149">
        <f>P390+P402+P409+P415+P421+P430+P435</f>
        <v>4068</v>
      </c>
      <c r="Q436" s="149">
        <f>Q390+Q402+Q409+Q415+Q421+Q430+Q435</f>
        <v>9265286.1896000002</v>
      </c>
      <c r="R436" s="149"/>
      <c r="S436" s="149"/>
      <c r="T436" s="149"/>
      <c r="U436" s="149"/>
      <c r="V436" s="149"/>
      <c r="W436" s="149">
        <f>W390+W402+W409+W415+W421+W430+W435</f>
        <v>14744786.069999998</v>
      </c>
      <c r="X436" s="149">
        <f>X390+X402+X409+X415+X421+X430+X435</f>
        <v>0</v>
      </c>
      <c r="Y436" s="124"/>
      <c r="Z436" s="122"/>
      <c r="AA436" s="133"/>
      <c r="AB436" s="122"/>
      <c r="AC436" s="123"/>
    </row>
    <row r="437" spans="1:31" ht="16.5" customHeight="1" x14ac:dyDescent="0.25">
      <c r="A437" s="204" t="s">
        <v>85</v>
      </c>
      <c r="B437" s="204"/>
      <c r="C437" s="204"/>
      <c r="D437" s="204"/>
      <c r="E437" s="204"/>
      <c r="F437" s="204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124"/>
      <c r="Z437" s="122"/>
      <c r="AB437" s="122"/>
    </row>
    <row r="438" spans="1:31" ht="21" customHeight="1" x14ac:dyDescent="0.25">
      <c r="A438" s="186" t="s">
        <v>586</v>
      </c>
      <c r="B438" s="186"/>
      <c r="C438" s="186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24"/>
      <c r="Z438" s="122"/>
      <c r="AB438" s="122"/>
    </row>
    <row r="439" spans="1:31" ht="21" customHeight="1" x14ac:dyDescent="0.25">
      <c r="A439" s="147">
        <f>A434+1</f>
        <v>277</v>
      </c>
      <c r="B439" s="140" t="s">
        <v>587</v>
      </c>
      <c r="C439" s="145">
        <f>D439+K439+M439+O439+Q439+S439+U439+V439+W439+X439</f>
        <v>479574</v>
      </c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5">
        <v>479574</v>
      </c>
      <c r="X439" s="149"/>
      <c r="Y439" s="124"/>
      <c r="Z439" s="122"/>
      <c r="AB439" s="122"/>
    </row>
    <row r="440" spans="1:31" ht="21" customHeight="1" x14ac:dyDescent="0.25">
      <c r="A440" s="203" t="s">
        <v>18</v>
      </c>
      <c r="B440" s="203"/>
      <c r="C440" s="145">
        <f>SUM(C439)</f>
        <v>479574</v>
      </c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>
        <f>SUM(W439)</f>
        <v>479574</v>
      </c>
      <c r="X440" s="145"/>
      <c r="Y440" s="124"/>
      <c r="Z440" s="122"/>
      <c r="AB440" s="122"/>
    </row>
    <row r="441" spans="1:31" ht="21" customHeight="1" x14ac:dyDescent="0.25">
      <c r="A441" s="229" t="s">
        <v>86</v>
      </c>
      <c r="B441" s="229"/>
      <c r="C441" s="229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24"/>
      <c r="Z441" s="122"/>
      <c r="AB441" s="122"/>
    </row>
    <row r="442" spans="1:31" ht="21" customHeight="1" x14ac:dyDescent="0.25">
      <c r="A442" s="147">
        <f>A439+1</f>
        <v>278</v>
      </c>
      <c r="B442" s="5" t="s">
        <v>433</v>
      </c>
      <c r="C442" s="145">
        <f>D442+K442+M442+O442+Q442+S442+U442+V442+W442+X442</f>
        <v>4374525.09</v>
      </c>
      <c r="D442" s="145"/>
      <c r="E442" s="145"/>
      <c r="F442" s="143"/>
      <c r="G442" s="143"/>
      <c r="H442" s="143"/>
      <c r="I442" s="143"/>
      <c r="J442" s="143"/>
      <c r="K442" s="143"/>
      <c r="L442" s="145"/>
      <c r="M442" s="145"/>
      <c r="N442" s="143"/>
      <c r="O442" s="143"/>
      <c r="P442" s="104">
        <v>1359.3</v>
      </c>
      <c r="Q442" s="145">
        <v>4099517</v>
      </c>
      <c r="R442" s="143"/>
      <c r="S442" s="143"/>
      <c r="T442" s="143"/>
      <c r="U442" s="143"/>
      <c r="V442" s="145"/>
      <c r="W442" s="145">
        <v>275008.09000000003</v>
      </c>
      <c r="X442" s="145"/>
      <c r="Y442" s="124"/>
      <c r="Z442" s="122"/>
      <c r="AA442" s="122"/>
      <c r="AB442" s="122"/>
    </row>
    <row r="443" spans="1:31" ht="21" customHeight="1" x14ac:dyDescent="0.25">
      <c r="A443" s="203" t="s">
        <v>18</v>
      </c>
      <c r="B443" s="203"/>
      <c r="C443" s="143">
        <f>C442</f>
        <v>4374525.09</v>
      </c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>
        <f t="shared" ref="P443:X443" si="38">P442</f>
        <v>1359.3</v>
      </c>
      <c r="Q443" s="143">
        <f t="shared" si="38"/>
        <v>4099517</v>
      </c>
      <c r="R443" s="143"/>
      <c r="S443" s="143"/>
      <c r="T443" s="143"/>
      <c r="U443" s="143"/>
      <c r="V443" s="143"/>
      <c r="W443" s="143">
        <f t="shared" si="38"/>
        <v>275008.09000000003</v>
      </c>
      <c r="X443" s="143">
        <f t="shared" si="38"/>
        <v>0</v>
      </c>
      <c r="Y443" s="124"/>
      <c r="Z443" s="122"/>
      <c r="AA443" s="122"/>
      <c r="AB443" s="122"/>
      <c r="AE443" s="122"/>
    </row>
    <row r="444" spans="1:31" ht="21" customHeight="1" x14ac:dyDescent="0.25">
      <c r="A444" s="188" t="s">
        <v>87</v>
      </c>
      <c r="B444" s="188"/>
      <c r="C444" s="188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24"/>
      <c r="Z444" s="122"/>
      <c r="AA444" s="122"/>
      <c r="AB444" s="122"/>
    </row>
    <row r="445" spans="1:31" ht="21" customHeight="1" x14ac:dyDescent="0.25">
      <c r="A445" s="144">
        <f>A442+1</f>
        <v>279</v>
      </c>
      <c r="B445" s="5" t="s">
        <v>434</v>
      </c>
      <c r="C445" s="145">
        <f>D445+K445+M445+O445+Q445+S445+U445+V445+W445+X445</f>
        <v>2419299.7200000002</v>
      </c>
      <c r="D445" s="145"/>
      <c r="E445" s="143"/>
      <c r="F445" s="143"/>
      <c r="G445" s="143"/>
      <c r="H445" s="143"/>
      <c r="I445" s="143"/>
      <c r="J445" s="143"/>
      <c r="K445" s="143"/>
      <c r="L445" s="145"/>
      <c r="M445" s="145"/>
      <c r="N445" s="143"/>
      <c r="O445" s="143"/>
      <c r="P445" s="104">
        <v>466.2</v>
      </c>
      <c r="Q445" s="145">
        <v>2287252.83</v>
      </c>
      <c r="R445" s="143"/>
      <c r="S445" s="143"/>
      <c r="T445" s="143"/>
      <c r="U445" s="143"/>
      <c r="V445" s="143"/>
      <c r="W445" s="143">
        <v>132046.89000000001</v>
      </c>
      <c r="X445" s="143"/>
      <c r="Y445" s="124"/>
      <c r="Z445" s="122"/>
      <c r="AA445" s="122"/>
      <c r="AB445" s="122"/>
    </row>
    <row r="446" spans="1:31" ht="21" customHeight="1" x14ac:dyDescent="0.25">
      <c r="A446" s="144">
        <f>A445+1</f>
        <v>280</v>
      </c>
      <c r="B446" s="5" t="s">
        <v>435</v>
      </c>
      <c r="C446" s="145">
        <f>D446+K446+M446+O446+Q446+S446+U446+V446+W446+X446</f>
        <v>4258127.3</v>
      </c>
      <c r="D446" s="145"/>
      <c r="E446" s="143"/>
      <c r="F446" s="143"/>
      <c r="G446" s="143"/>
      <c r="H446" s="143"/>
      <c r="I446" s="143"/>
      <c r="J446" s="143"/>
      <c r="K446" s="143"/>
      <c r="L446" s="104">
        <v>446</v>
      </c>
      <c r="M446" s="145">
        <v>1764224.84</v>
      </c>
      <c r="N446" s="143"/>
      <c r="O446" s="143"/>
      <c r="P446" s="104">
        <v>466.2</v>
      </c>
      <c r="Q446" s="145">
        <v>2361855.5699999998</v>
      </c>
      <c r="R446" s="143"/>
      <c r="S446" s="143"/>
      <c r="T446" s="143"/>
      <c r="U446" s="143"/>
      <c r="V446" s="143"/>
      <c r="W446" s="143">
        <v>132046.89000000001</v>
      </c>
      <c r="X446" s="143"/>
      <c r="Y446" s="124"/>
      <c r="Z446" s="122"/>
      <c r="AA446" s="122"/>
      <c r="AB446" s="122"/>
    </row>
    <row r="447" spans="1:31" ht="21" customHeight="1" x14ac:dyDescent="0.25">
      <c r="A447" s="203" t="s">
        <v>18</v>
      </c>
      <c r="B447" s="203"/>
      <c r="C447" s="143">
        <f>SUM(C445:C446)</f>
        <v>6677427.0199999996</v>
      </c>
      <c r="D447" s="143"/>
      <c r="E447" s="143"/>
      <c r="F447" s="143"/>
      <c r="G447" s="143"/>
      <c r="H447" s="143"/>
      <c r="I447" s="143"/>
      <c r="J447" s="143"/>
      <c r="K447" s="143"/>
      <c r="L447" s="143">
        <f t="shared" ref="L447:X447" si="39">SUM(L445:L446)</f>
        <v>446</v>
      </c>
      <c r="M447" s="143">
        <f t="shared" si="39"/>
        <v>1764224.84</v>
      </c>
      <c r="N447" s="143"/>
      <c r="O447" s="143"/>
      <c r="P447" s="143">
        <f t="shared" si="39"/>
        <v>932.4</v>
      </c>
      <c r="Q447" s="143">
        <f t="shared" si="39"/>
        <v>4649108.4000000004</v>
      </c>
      <c r="R447" s="143"/>
      <c r="S447" s="143"/>
      <c r="T447" s="143"/>
      <c r="U447" s="143"/>
      <c r="V447" s="143"/>
      <c r="W447" s="143">
        <f t="shared" si="39"/>
        <v>264093.78000000003</v>
      </c>
      <c r="X447" s="143">
        <f t="shared" si="39"/>
        <v>0</v>
      </c>
      <c r="Y447" s="124"/>
      <c r="Z447" s="122"/>
      <c r="AA447" s="122"/>
      <c r="AB447" s="122"/>
      <c r="AE447" s="123"/>
    </row>
    <row r="448" spans="1:31" ht="21" customHeight="1" x14ac:dyDescent="0.25">
      <c r="A448" s="188" t="s">
        <v>88</v>
      </c>
      <c r="B448" s="188"/>
      <c r="C448" s="188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24"/>
      <c r="Z448" s="122"/>
      <c r="AB448" s="122"/>
    </row>
    <row r="449" spans="1:31" ht="21" customHeight="1" x14ac:dyDescent="0.25">
      <c r="A449" s="147">
        <f>A446+1</f>
        <v>281</v>
      </c>
      <c r="B449" s="140" t="s">
        <v>582</v>
      </c>
      <c r="C449" s="145">
        <f>D449+K449+M449+O449+Q449+S449+U449+V449+W449+X449</f>
        <v>733918.65</v>
      </c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3">
        <v>733918.65</v>
      </c>
      <c r="X449" s="142"/>
      <c r="Y449" s="141"/>
      <c r="Z449" s="122"/>
      <c r="AB449" s="122"/>
    </row>
    <row r="450" spans="1:31" ht="21" customHeight="1" x14ac:dyDescent="0.25">
      <c r="A450" s="147">
        <f>A449+1</f>
        <v>282</v>
      </c>
      <c r="B450" s="148" t="s">
        <v>591</v>
      </c>
      <c r="C450" s="145">
        <f>D450+K450+M450+O450+Q450+S450+U450+V450+W450+X450</f>
        <v>5972529.04</v>
      </c>
      <c r="D450" s="145">
        <f>E450+F450+G450+H450+I450</f>
        <v>2024921.39</v>
      </c>
      <c r="E450" s="143"/>
      <c r="F450" s="143">
        <v>2024921.39</v>
      </c>
      <c r="G450" s="143"/>
      <c r="H450" s="143"/>
      <c r="I450" s="143"/>
      <c r="J450" s="143"/>
      <c r="K450" s="143"/>
      <c r="L450" s="143">
        <v>1370</v>
      </c>
      <c r="M450" s="143">
        <v>3909637</v>
      </c>
      <c r="N450" s="143"/>
      <c r="O450" s="143"/>
      <c r="P450" s="143"/>
      <c r="Q450" s="143"/>
      <c r="R450" s="143"/>
      <c r="S450" s="143"/>
      <c r="T450" s="143"/>
      <c r="U450" s="143"/>
      <c r="V450" s="143"/>
      <c r="W450" s="143">
        <v>37970.65</v>
      </c>
      <c r="X450" s="143"/>
      <c r="Y450" s="124"/>
      <c r="Z450" s="122"/>
      <c r="AB450" s="122"/>
    </row>
    <row r="451" spans="1:31" ht="21" customHeight="1" x14ac:dyDescent="0.25">
      <c r="A451" s="147">
        <f>A450+1</f>
        <v>283</v>
      </c>
      <c r="B451" s="5" t="s">
        <v>436</v>
      </c>
      <c r="C451" s="145">
        <f>D451+K451+M451+O451+Q451+S451+U451+V451+W451+X451</f>
        <v>2383141.34</v>
      </c>
      <c r="D451" s="145"/>
      <c r="E451" s="143"/>
      <c r="F451" s="143"/>
      <c r="G451" s="143"/>
      <c r="H451" s="142"/>
      <c r="I451" s="142"/>
      <c r="J451" s="142"/>
      <c r="K451" s="142"/>
      <c r="L451" s="105">
        <v>500</v>
      </c>
      <c r="M451" s="145">
        <v>2130205.9</v>
      </c>
      <c r="N451" s="142"/>
      <c r="O451" s="142"/>
      <c r="P451" s="143"/>
      <c r="Q451" s="143"/>
      <c r="R451" s="142"/>
      <c r="S451" s="142"/>
      <c r="T451" s="142"/>
      <c r="U451" s="142"/>
      <c r="V451" s="143"/>
      <c r="W451" s="143">
        <v>252935.44</v>
      </c>
      <c r="X451" s="143"/>
      <c r="Y451" s="124"/>
      <c r="Z451" s="122"/>
      <c r="AB451" s="122"/>
    </row>
    <row r="452" spans="1:31" ht="21" customHeight="1" x14ac:dyDescent="0.25">
      <c r="A452" s="147">
        <f>A451+1</f>
        <v>284</v>
      </c>
      <c r="B452" s="5" t="s">
        <v>437</v>
      </c>
      <c r="C452" s="145">
        <f>D452+K452+M452+O452+Q452+S452+U452+V452+W452+X452</f>
        <v>4564204.0600000005</v>
      </c>
      <c r="D452" s="145"/>
      <c r="E452" s="143"/>
      <c r="F452" s="143"/>
      <c r="G452" s="143"/>
      <c r="H452" s="142"/>
      <c r="I452" s="142"/>
      <c r="J452" s="142"/>
      <c r="K452" s="142"/>
      <c r="L452" s="104">
        <v>640</v>
      </c>
      <c r="M452" s="145">
        <v>2423358.33</v>
      </c>
      <c r="N452" s="142"/>
      <c r="O452" s="142"/>
      <c r="P452" s="104">
        <v>870</v>
      </c>
      <c r="Q452" s="145">
        <v>2140845.73</v>
      </c>
      <c r="R452" s="142"/>
      <c r="S452" s="142"/>
      <c r="T452" s="142"/>
      <c r="U452" s="143"/>
      <c r="V452" s="145"/>
      <c r="W452" s="143"/>
      <c r="X452" s="143"/>
      <c r="Y452" s="124"/>
      <c r="Z452" s="122"/>
      <c r="AA452" s="122"/>
      <c r="AB452" s="122"/>
    </row>
    <row r="453" spans="1:31" ht="21" customHeight="1" x14ac:dyDescent="0.25">
      <c r="A453" s="147">
        <f>A452+1</f>
        <v>285</v>
      </c>
      <c r="B453" s="140" t="s">
        <v>572</v>
      </c>
      <c r="C453" s="145">
        <f>D453+K453+M453+O453+Q453+S453+U453+V453+W453+X453</f>
        <v>5313728.2300000004</v>
      </c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3">
        <v>325</v>
      </c>
      <c r="S453" s="143">
        <v>5313728.2300000004</v>
      </c>
      <c r="T453" s="142"/>
      <c r="U453" s="142"/>
      <c r="V453" s="142"/>
      <c r="W453" s="142"/>
      <c r="X453" s="142"/>
      <c r="Y453" s="124"/>
      <c r="Z453" s="122"/>
      <c r="AB453" s="122"/>
    </row>
    <row r="454" spans="1:31" ht="21" customHeight="1" x14ac:dyDescent="0.25">
      <c r="A454" s="203" t="s">
        <v>18</v>
      </c>
      <c r="B454" s="203"/>
      <c r="C454" s="143">
        <f>SUM(C449:C453)</f>
        <v>18967521.32</v>
      </c>
      <c r="D454" s="143">
        <f>SUM(D449:D453)</f>
        <v>2024921.39</v>
      </c>
      <c r="E454" s="143"/>
      <c r="F454" s="143">
        <f>SUM(F449:F453)</f>
        <v>2024921.39</v>
      </c>
      <c r="G454" s="143"/>
      <c r="H454" s="143"/>
      <c r="I454" s="143"/>
      <c r="J454" s="143"/>
      <c r="K454" s="143"/>
      <c r="L454" s="143">
        <f>SUM(L449:L453)</f>
        <v>2510</v>
      </c>
      <c r="M454" s="143">
        <f>SUM(M449:M453)</f>
        <v>8463201.2300000004</v>
      </c>
      <c r="N454" s="143"/>
      <c r="O454" s="143"/>
      <c r="P454" s="143">
        <f>SUM(P449:P453)</f>
        <v>870</v>
      </c>
      <c r="Q454" s="143">
        <f>SUM(Q449:Q453)</f>
        <v>2140845.73</v>
      </c>
      <c r="R454" s="143">
        <f>SUM(R449:R453)</f>
        <v>325</v>
      </c>
      <c r="S454" s="143">
        <f>SUM(S449:S453)</f>
        <v>5313728.2300000004</v>
      </c>
      <c r="T454" s="143"/>
      <c r="U454" s="143"/>
      <c r="V454" s="143"/>
      <c r="W454" s="143">
        <f>SUM(W449:W453)</f>
        <v>1024824.74</v>
      </c>
      <c r="X454" s="143"/>
      <c r="Y454" s="124"/>
      <c r="Z454" s="122"/>
      <c r="AA454" s="122"/>
      <c r="AB454" s="122"/>
      <c r="AE454" s="123"/>
    </row>
    <row r="455" spans="1:31" ht="21" customHeight="1" x14ac:dyDescent="0.25">
      <c r="A455" s="188" t="s">
        <v>89</v>
      </c>
      <c r="B455" s="188"/>
      <c r="C455" s="142">
        <f>C443+C447+C454+C440</f>
        <v>30499047.43</v>
      </c>
      <c r="D455" s="142">
        <f>D443+D447+D454+D440</f>
        <v>2024921.39</v>
      </c>
      <c r="E455" s="142"/>
      <c r="F455" s="142">
        <f>F443+F447+F454+F440</f>
        <v>2024921.39</v>
      </c>
      <c r="G455" s="142"/>
      <c r="H455" s="142"/>
      <c r="I455" s="142"/>
      <c r="J455" s="142"/>
      <c r="K455" s="142"/>
      <c r="L455" s="142">
        <f>L443+L447+L454+L440</f>
        <v>2956</v>
      </c>
      <c r="M455" s="142">
        <f>M443+M447+M454+M440</f>
        <v>10227426.07</v>
      </c>
      <c r="N455" s="142"/>
      <c r="O455" s="142"/>
      <c r="P455" s="142">
        <f>P443+P447+P454+P440</f>
        <v>3161.7</v>
      </c>
      <c r="Q455" s="142">
        <f>Q443+Q447+Q454+Q440</f>
        <v>10889471.130000001</v>
      </c>
      <c r="R455" s="142">
        <f>R443+R447+R454+R440</f>
        <v>325</v>
      </c>
      <c r="S455" s="142">
        <f>S443+S447+S454+S440</f>
        <v>5313728.2300000004</v>
      </c>
      <c r="T455" s="142"/>
      <c r="U455" s="142"/>
      <c r="V455" s="142"/>
      <c r="W455" s="142">
        <f>W443+W447+W454+W440</f>
        <v>2043500.61</v>
      </c>
      <c r="X455" s="142">
        <f>X443+X447+X454+X440</f>
        <v>0</v>
      </c>
      <c r="Y455" s="124"/>
      <c r="Z455" s="122"/>
      <c r="AA455" s="132"/>
      <c r="AB455" s="122"/>
    </row>
    <row r="456" spans="1:31" ht="18.75" customHeight="1" x14ac:dyDescent="0.25">
      <c r="A456" s="204" t="s">
        <v>90</v>
      </c>
      <c r="B456" s="204"/>
      <c r="C456" s="204"/>
      <c r="D456" s="204"/>
      <c r="E456" s="204"/>
      <c r="F456" s="204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124"/>
      <c r="Z456" s="122"/>
      <c r="AB456" s="122"/>
    </row>
    <row r="457" spans="1:31" ht="18.75" customHeight="1" x14ac:dyDescent="0.25">
      <c r="A457" s="189" t="s">
        <v>91</v>
      </c>
      <c r="B457" s="189"/>
      <c r="C457" s="189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24"/>
      <c r="Z457" s="122"/>
      <c r="AB457" s="122"/>
    </row>
    <row r="458" spans="1:31" ht="18.75" customHeight="1" x14ac:dyDescent="0.25">
      <c r="A458" s="144">
        <f>A453+1</f>
        <v>286</v>
      </c>
      <c r="B458" s="5" t="s">
        <v>438</v>
      </c>
      <c r="C458" s="145">
        <f>D458+K458+M458+O458+Q458+S458+U458+V458+W458+X458</f>
        <v>477102.87</v>
      </c>
      <c r="D458" s="145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5">
        <f>147038.82+330064.05</f>
        <v>477102.87</v>
      </c>
      <c r="X458" s="145"/>
      <c r="Y458" s="124"/>
      <c r="Z458" s="122"/>
      <c r="AB458" s="122"/>
    </row>
    <row r="459" spans="1:31" ht="18.75" customHeight="1" x14ac:dyDescent="0.25">
      <c r="A459" s="203" t="s">
        <v>18</v>
      </c>
      <c r="B459" s="203"/>
      <c r="C459" s="143">
        <f>SUM(C458:C458)</f>
        <v>477102.87</v>
      </c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>
        <f>SUM(W458:W458)</f>
        <v>477102.87</v>
      </c>
      <c r="X459" s="143"/>
      <c r="Y459" s="124"/>
      <c r="Z459" s="122"/>
      <c r="AB459" s="122"/>
    </row>
    <row r="460" spans="1:31" ht="18.75" customHeight="1" x14ac:dyDescent="0.25">
      <c r="A460" s="189" t="s">
        <v>92</v>
      </c>
      <c r="B460" s="189"/>
      <c r="C460" s="189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24"/>
      <c r="Z460" s="122"/>
      <c r="AA460" s="122"/>
      <c r="AB460" s="122"/>
    </row>
    <row r="461" spans="1:31" ht="18.75" customHeight="1" x14ac:dyDescent="0.25">
      <c r="A461" s="144">
        <f>A458+1</f>
        <v>287</v>
      </c>
      <c r="B461" s="5" t="s">
        <v>439</v>
      </c>
      <c r="C461" s="145">
        <f>D461+K461+M461+O461+Q461+S461+U461+V461+W461+X461</f>
        <v>650235.43999999994</v>
      </c>
      <c r="D461" s="145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>
        <f>325868.97+156785.67+167580.8</f>
        <v>650235.43999999994</v>
      </c>
      <c r="X461" s="143"/>
      <c r="Y461" s="124"/>
      <c r="Z461" s="122"/>
      <c r="AB461" s="122"/>
    </row>
    <row r="462" spans="1:31" ht="18.75" customHeight="1" x14ac:dyDescent="0.25">
      <c r="A462" s="146" t="s">
        <v>18</v>
      </c>
      <c r="B462" s="146"/>
      <c r="C462" s="143">
        <f>SUM(C461)</f>
        <v>650235.43999999994</v>
      </c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>
        <f>SUM(W461)</f>
        <v>650235.43999999994</v>
      </c>
      <c r="X462" s="143"/>
      <c r="Y462" s="124"/>
      <c r="Z462" s="122"/>
      <c r="AB462" s="122"/>
    </row>
    <row r="463" spans="1:31" ht="18.75" customHeight="1" x14ac:dyDescent="0.25">
      <c r="A463" s="188" t="s">
        <v>93</v>
      </c>
      <c r="B463" s="188"/>
      <c r="C463" s="188"/>
      <c r="D463" s="175"/>
      <c r="E463" s="175"/>
      <c r="F463" s="17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24"/>
      <c r="Z463" s="122"/>
      <c r="AA463" s="122"/>
      <c r="AB463" s="122"/>
    </row>
    <row r="464" spans="1:31" ht="18.75" customHeight="1" x14ac:dyDescent="0.25">
      <c r="A464" s="147">
        <f>A461+1</f>
        <v>288</v>
      </c>
      <c r="B464" s="140" t="s">
        <v>573</v>
      </c>
      <c r="C464" s="145">
        <f>D464+K464+M464+O464+Q464+S464+U464+V464+W464+X464</f>
        <v>472682.42</v>
      </c>
      <c r="D464" s="145">
        <f>E464+F464+G464+H464+I464</f>
        <v>472682.42</v>
      </c>
      <c r="E464" s="143">
        <v>472682.42</v>
      </c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24"/>
      <c r="Z464" s="122"/>
      <c r="AA464" s="122"/>
      <c r="AB464" s="122"/>
    </row>
    <row r="465" spans="1:31" ht="18.75" customHeight="1" x14ac:dyDescent="0.25">
      <c r="A465" s="144">
        <f t="shared" ref="A465:A471" si="40">A464+1</f>
        <v>289</v>
      </c>
      <c r="B465" s="5" t="s">
        <v>440</v>
      </c>
      <c r="C465" s="145">
        <f t="shared" ref="C465:C471" si="41">D465+K465+M465+O465+Q465+S465+U465+V465+W465+X465</f>
        <v>7756690.4699999997</v>
      </c>
      <c r="D465" s="145"/>
      <c r="E465" s="143"/>
      <c r="F465" s="143"/>
      <c r="G465" s="143"/>
      <c r="H465" s="143"/>
      <c r="I465" s="143"/>
      <c r="J465" s="143"/>
      <c r="K465" s="143"/>
      <c r="L465" s="104">
        <v>2300</v>
      </c>
      <c r="M465" s="145">
        <v>7756690.4699999997</v>
      </c>
      <c r="N465" s="143"/>
      <c r="O465" s="143"/>
      <c r="P465" s="143"/>
      <c r="Q465" s="143"/>
      <c r="R465" s="143"/>
      <c r="S465" s="143"/>
      <c r="T465" s="143"/>
      <c r="U465" s="143"/>
      <c r="V465" s="143"/>
      <c r="W465" s="145"/>
      <c r="X465" s="145"/>
      <c r="Y465" s="124"/>
      <c r="Z465" s="122"/>
      <c r="AB465" s="122"/>
    </row>
    <row r="466" spans="1:31" ht="18.75" customHeight="1" x14ac:dyDescent="0.25">
      <c r="A466" s="144">
        <f t="shared" si="40"/>
        <v>290</v>
      </c>
      <c r="B466" s="5" t="s">
        <v>441</v>
      </c>
      <c r="C466" s="145">
        <f t="shared" si="41"/>
        <v>1814075.62</v>
      </c>
      <c r="D466" s="145"/>
      <c r="E466" s="143"/>
      <c r="F466" s="143"/>
      <c r="G466" s="143"/>
      <c r="H466" s="143"/>
      <c r="I466" s="143"/>
      <c r="J466" s="143"/>
      <c r="K466" s="143"/>
      <c r="L466" s="104">
        <v>884</v>
      </c>
      <c r="M466" s="145">
        <v>1362351.23</v>
      </c>
      <c r="N466" s="143"/>
      <c r="O466" s="143"/>
      <c r="P466" s="143"/>
      <c r="Q466" s="143"/>
      <c r="R466" s="143"/>
      <c r="S466" s="143"/>
      <c r="T466" s="143"/>
      <c r="U466" s="143"/>
      <c r="V466" s="143"/>
      <c r="W466" s="145">
        <v>451724.39</v>
      </c>
      <c r="X466" s="145"/>
      <c r="Y466" s="124"/>
      <c r="Z466" s="122"/>
      <c r="AB466" s="122"/>
    </row>
    <row r="467" spans="1:31" ht="18.75" customHeight="1" x14ac:dyDescent="0.25">
      <c r="A467" s="144">
        <f t="shared" si="40"/>
        <v>291</v>
      </c>
      <c r="B467" s="5" t="s">
        <v>442</v>
      </c>
      <c r="C467" s="145">
        <f t="shared" si="41"/>
        <v>3129612.1900000004</v>
      </c>
      <c r="D467" s="145"/>
      <c r="E467" s="143"/>
      <c r="F467" s="143"/>
      <c r="G467" s="143"/>
      <c r="H467" s="143"/>
      <c r="I467" s="143"/>
      <c r="J467" s="143"/>
      <c r="K467" s="143"/>
      <c r="L467" s="104">
        <v>805</v>
      </c>
      <c r="M467" s="145">
        <v>2936590.22</v>
      </c>
      <c r="N467" s="143"/>
      <c r="O467" s="143"/>
      <c r="P467" s="143"/>
      <c r="Q467" s="145"/>
      <c r="R467" s="143"/>
      <c r="S467" s="143"/>
      <c r="T467" s="143"/>
      <c r="U467" s="143"/>
      <c r="V467" s="143"/>
      <c r="W467" s="145">
        <f>76665.71+116356.26</f>
        <v>193021.97</v>
      </c>
      <c r="X467" s="145"/>
      <c r="Y467" s="124"/>
      <c r="Z467" s="122"/>
      <c r="AB467" s="122"/>
    </row>
    <row r="468" spans="1:31" ht="18.75" customHeight="1" x14ac:dyDescent="0.25">
      <c r="A468" s="144">
        <f t="shared" si="40"/>
        <v>292</v>
      </c>
      <c r="B468" s="5" t="s">
        <v>443</v>
      </c>
      <c r="C468" s="145">
        <f t="shared" si="41"/>
        <v>2079974.1400000001</v>
      </c>
      <c r="D468" s="145"/>
      <c r="E468" s="143"/>
      <c r="F468" s="143"/>
      <c r="G468" s="143"/>
      <c r="H468" s="143"/>
      <c r="I468" s="143"/>
      <c r="J468" s="143"/>
      <c r="K468" s="143"/>
      <c r="L468" s="104">
        <v>510</v>
      </c>
      <c r="M468" s="145">
        <v>1896499.28</v>
      </c>
      <c r="N468" s="143"/>
      <c r="O468" s="143"/>
      <c r="P468" s="143"/>
      <c r="Q468" s="145"/>
      <c r="R468" s="143"/>
      <c r="S468" s="143"/>
      <c r="T468" s="143"/>
      <c r="U468" s="143"/>
      <c r="V468" s="143"/>
      <c r="W468" s="145">
        <f>73287.35+110187.51</f>
        <v>183474.86</v>
      </c>
      <c r="X468" s="145"/>
      <c r="Y468" s="124"/>
      <c r="Z468" s="122"/>
      <c r="AB468" s="122"/>
    </row>
    <row r="469" spans="1:31" ht="18.75" customHeight="1" x14ac:dyDescent="0.25">
      <c r="A469" s="144">
        <f t="shared" si="40"/>
        <v>293</v>
      </c>
      <c r="B469" s="5" t="s">
        <v>444</v>
      </c>
      <c r="C469" s="145">
        <f t="shared" si="41"/>
        <v>2086586.7000000002</v>
      </c>
      <c r="D469" s="145"/>
      <c r="E469" s="143"/>
      <c r="F469" s="143"/>
      <c r="G469" s="143"/>
      <c r="H469" s="143"/>
      <c r="I469" s="143"/>
      <c r="J469" s="143"/>
      <c r="K469" s="143"/>
      <c r="L469" s="104">
        <v>510</v>
      </c>
      <c r="M469" s="145">
        <v>1904869.11</v>
      </c>
      <c r="N469" s="143"/>
      <c r="O469" s="143"/>
      <c r="P469" s="143"/>
      <c r="Q469" s="145"/>
      <c r="R469" s="143"/>
      <c r="S469" s="143"/>
      <c r="T469" s="143"/>
      <c r="U469" s="143"/>
      <c r="V469" s="143"/>
      <c r="W469" s="145">
        <f>72511.18+109206.41</f>
        <v>181717.59</v>
      </c>
      <c r="X469" s="145"/>
      <c r="Y469" s="124"/>
      <c r="Z469" s="122"/>
      <c r="AB469" s="122"/>
    </row>
    <row r="470" spans="1:31" ht="18.75" customHeight="1" x14ac:dyDescent="0.25">
      <c r="A470" s="144">
        <f t="shared" si="40"/>
        <v>294</v>
      </c>
      <c r="B470" s="5" t="s">
        <v>445</v>
      </c>
      <c r="C470" s="145">
        <f t="shared" si="41"/>
        <v>3097959.92</v>
      </c>
      <c r="D470" s="145"/>
      <c r="E470" s="143"/>
      <c r="F470" s="143"/>
      <c r="G470" s="143"/>
      <c r="H470" s="143"/>
      <c r="I470" s="143"/>
      <c r="J470" s="143"/>
      <c r="K470" s="143"/>
      <c r="L470" s="104">
        <v>805</v>
      </c>
      <c r="M470" s="145">
        <v>2908531.9</v>
      </c>
      <c r="N470" s="143"/>
      <c r="O470" s="143"/>
      <c r="P470" s="143"/>
      <c r="Q470" s="145"/>
      <c r="R470" s="143"/>
      <c r="S470" s="143"/>
      <c r="T470" s="143"/>
      <c r="U470" s="143"/>
      <c r="V470" s="143"/>
      <c r="W470" s="145">
        <f>75126.6+114301.42</f>
        <v>189428.02000000002</v>
      </c>
      <c r="X470" s="145"/>
      <c r="Y470" s="124"/>
      <c r="Z470" s="122"/>
      <c r="AB470" s="122"/>
    </row>
    <row r="471" spans="1:31" ht="18.75" customHeight="1" x14ac:dyDescent="0.25">
      <c r="A471" s="144">
        <f t="shared" si="40"/>
        <v>295</v>
      </c>
      <c r="B471" s="5" t="s">
        <v>446</v>
      </c>
      <c r="C471" s="145">
        <f t="shared" si="41"/>
        <v>3106288.83</v>
      </c>
      <c r="D471" s="145"/>
      <c r="E471" s="143"/>
      <c r="F471" s="143"/>
      <c r="G471" s="143"/>
      <c r="H471" s="143"/>
      <c r="I471" s="143"/>
      <c r="J471" s="143"/>
      <c r="K471" s="143"/>
      <c r="L471" s="104">
        <v>805</v>
      </c>
      <c r="M471" s="145">
        <v>2916860.81</v>
      </c>
      <c r="N471" s="143"/>
      <c r="O471" s="143"/>
      <c r="P471" s="143"/>
      <c r="Q471" s="145"/>
      <c r="R471" s="143"/>
      <c r="S471" s="143"/>
      <c r="T471" s="143"/>
      <c r="U471" s="143"/>
      <c r="V471" s="143"/>
      <c r="W471" s="145">
        <f>75126.6+114301.42</f>
        <v>189428.02000000002</v>
      </c>
      <c r="X471" s="145"/>
      <c r="Y471" s="124"/>
      <c r="Z471" s="122"/>
      <c r="AB471" s="122"/>
    </row>
    <row r="472" spans="1:31" ht="18.75" customHeight="1" x14ac:dyDescent="0.25">
      <c r="A472" s="203" t="s">
        <v>18</v>
      </c>
      <c r="B472" s="203"/>
      <c r="C472" s="143">
        <f>SUM(C464:C471)</f>
        <v>23543870.289999999</v>
      </c>
      <c r="D472" s="143">
        <f>SUM(D464:D471)</f>
        <v>472682.42</v>
      </c>
      <c r="E472" s="143">
        <f>SUM(E464:E471)</f>
        <v>472682.42</v>
      </c>
      <c r="F472" s="143"/>
      <c r="G472" s="143"/>
      <c r="H472" s="143"/>
      <c r="I472" s="143"/>
      <c r="J472" s="143"/>
      <c r="K472" s="143"/>
      <c r="L472" s="143">
        <f>SUM(L464:L471)</f>
        <v>6619</v>
      </c>
      <c r="M472" s="143">
        <f>SUM(M464:M471)</f>
        <v>21682393.019999996</v>
      </c>
      <c r="N472" s="143"/>
      <c r="O472" s="143"/>
      <c r="P472" s="143"/>
      <c r="Q472" s="143"/>
      <c r="R472" s="143"/>
      <c r="S472" s="143"/>
      <c r="T472" s="143"/>
      <c r="U472" s="143"/>
      <c r="V472" s="143"/>
      <c r="W472" s="143">
        <f>SUM(W464:W471)</f>
        <v>1388794.85</v>
      </c>
      <c r="X472" s="143">
        <f>SUM(X464:X471)</f>
        <v>0</v>
      </c>
      <c r="Y472" s="124"/>
      <c r="Z472" s="122"/>
      <c r="AA472" s="122"/>
      <c r="AB472" s="122"/>
      <c r="AE472" s="123"/>
    </row>
    <row r="473" spans="1:31" ht="18.75" customHeight="1" x14ac:dyDescent="0.25">
      <c r="A473" s="188" t="s">
        <v>94</v>
      </c>
      <c r="B473" s="188"/>
      <c r="C473" s="188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24"/>
      <c r="Z473" s="122"/>
      <c r="AB473" s="122"/>
    </row>
    <row r="474" spans="1:31" ht="18.75" customHeight="1" x14ac:dyDescent="0.25">
      <c r="A474" s="144">
        <f>A471+1</f>
        <v>296</v>
      </c>
      <c r="B474" s="5" t="s">
        <v>447</v>
      </c>
      <c r="C474" s="145">
        <f>D474+K474+M474+O474+Q474+S474+U474+V474+W474+X474</f>
        <v>6109725.1500000004</v>
      </c>
      <c r="D474" s="145"/>
      <c r="E474" s="143"/>
      <c r="F474" s="143"/>
      <c r="G474" s="143"/>
      <c r="H474" s="143"/>
      <c r="I474" s="143"/>
      <c r="J474" s="143"/>
      <c r="K474" s="143"/>
      <c r="L474" s="104">
        <v>638</v>
      </c>
      <c r="M474" s="145">
        <v>2977956.75</v>
      </c>
      <c r="N474" s="104"/>
      <c r="O474" s="104"/>
      <c r="P474" s="104">
        <v>640.55999999999995</v>
      </c>
      <c r="Q474" s="145">
        <v>3131768.4</v>
      </c>
      <c r="R474" s="142"/>
      <c r="S474" s="142"/>
      <c r="T474" s="142"/>
      <c r="U474" s="142"/>
      <c r="V474" s="142"/>
      <c r="W474" s="145"/>
      <c r="X474" s="145"/>
      <c r="Y474" s="124"/>
      <c r="Z474" s="122"/>
      <c r="AA474" s="122"/>
      <c r="AB474" s="122"/>
    </row>
    <row r="475" spans="1:31" ht="18.75" customHeight="1" x14ac:dyDescent="0.25">
      <c r="A475" s="203" t="s">
        <v>18</v>
      </c>
      <c r="B475" s="203"/>
      <c r="C475" s="143">
        <f>SUM(C474)</f>
        <v>6109725.1500000004</v>
      </c>
      <c r="D475" s="143"/>
      <c r="E475" s="143"/>
      <c r="F475" s="143"/>
      <c r="G475" s="143"/>
      <c r="H475" s="143"/>
      <c r="I475" s="143"/>
      <c r="J475" s="143"/>
      <c r="K475" s="143"/>
      <c r="L475" s="143">
        <f>SUM(L474)</f>
        <v>638</v>
      </c>
      <c r="M475" s="143">
        <f>SUM(M474)</f>
        <v>2977956.75</v>
      </c>
      <c r="N475" s="143"/>
      <c r="O475" s="143"/>
      <c r="P475" s="143">
        <f>SUM(P474)</f>
        <v>640.55999999999995</v>
      </c>
      <c r="Q475" s="143">
        <f>SUM(Q474)</f>
        <v>3131768.4</v>
      </c>
      <c r="R475" s="143"/>
      <c r="S475" s="143"/>
      <c r="T475" s="143"/>
      <c r="U475" s="143"/>
      <c r="V475" s="143"/>
      <c r="W475" s="143"/>
      <c r="X475" s="143">
        <f>SUM(X474)</f>
        <v>0</v>
      </c>
      <c r="Y475" s="124"/>
      <c r="Z475" s="122"/>
      <c r="AA475" s="122"/>
      <c r="AB475" s="122"/>
      <c r="AE475" s="123"/>
    </row>
    <row r="476" spans="1:31" ht="18.75" customHeight="1" x14ac:dyDescent="0.25">
      <c r="A476" s="188" t="s">
        <v>95</v>
      </c>
      <c r="B476" s="188"/>
      <c r="C476" s="188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24"/>
      <c r="Z476" s="122"/>
      <c r="AB476" s="122"/>
    </row>
    <row r="477" spans="1:31" ht="18.75" customHeight="1" x14ac:dyDescent="0.25">
      <c r="A477" s="144">
        <f>A474+1</f>
        <v>297</v>
      </c>
      <c r="B477" s="5" t="s">
        <v>448</v>
      </c>
      <c r="C477" s="145">
        <f t="shared" ref="C477:C482" si="42">D477+K477+M477+O477+Q477+S477+U477+V477+W477+X477</f>
        <v>3634619.9899999998</v>
      </c>
      <c r="D477" s="145"/>
      <c r="E477" s="143"/>
      <c r="F477" s="143"/>
      <c r="G477" s="143"/>
      <c r="H477" s="143"/>
      <c r="I477" s="143"/>
      <c r="J477" s="143"/>
      <c r="K477" s="143"/>
      <c r="L477" s="143"/>
      <c r="M477" s="145"/>
      <c r="N477" s="104">
        <v>190</v>
      </c>
      <c r="O477" s="104">
        <v>84087.11</v>
      </c>
      <c r="P477" s="104">
        <v>673.5</v>
      </c>
      <c r="Q477" s="145">
        <v>3195678.36</v>
      </c>
      <c r="R477" s="143"/>
      <c r="S477" s="143"/>
      <c r="T477" s="143"/>
      <c r="U477" s="143"/>
      <c r="V477" s="143"/>
      <c r="W477" s="143">
        <f>197673.85+157180.67</f>
        <v>354854.52</v>
      </c>
      <c r="X477" s="143"/>
      <c r="Y477" s="124"/>
      <c r="Z477" s="122"/>
      <c r="AA477" s="122"/>
      <c r="AB477" s="122"/>
    </row>
    <row r="478" spans="1:31" ht="18.75" customHeight="1" x14ac:dyDescent="0.25">
      <c r="A478" s="144">
        <f t="shared" ref="A478:A483" si="43">A477+1</f>
        <v>298</v>
      </c>
      <c r="B478" s="5" t="s">
        <v>449</v>
      </c>
      <c r="C478" s="145">
        <f t="shared" si="42"/>
        <v>3638500.4</v>
      </c>
      <c r="D478" s="145"/>
      <c r="E478" s="143"/>
      <c r="F478" s="143"/>
      <c r="G478" s="143"/>
      <c r="H478" s="143"/>
      <c r="I478" s="143"/>
      <c r="J478" s="143"/>
      <c r="K478" s="143"/>
      <c r="L478" s="143"/>
      <c r="M478" s="143"/>
      <c r="N478" s="104">
        <v>190</v>
      </c>
      <c r="O478" s="104">
        <v>84087.11</v>
      </c>
      <c r="P478" s="104">
        <v>673.5</v>
      </c>
      <c r="Q478" s="145">
        <v>3199558.77</v>
      </c>
      <c r="R478" s="143"/>
      <c r="S478" s="143"/>
      <c r="T478" s="143"/>
      <c r="U478" s="143"/>
      <c r="V478" s="143"/>
      <c r="W478" s="143">
        <f>197673.85+157180.67</f>
        <v>354854.52</v>
      </c>
      <c r="X478" s="143"/>
      <c r="Y478" s="124"/>
      <c r="Z478" s="122"/>
      <c r="AA478" s="122"/>
      <c r="AB478" s="122"/>
    </row>
    <row r="479" spans="1:31" ht="18.75" customHeight="1" x14ac:dyDescent="0.25">
      <c r="A479" s="144">
        <f t="shared" si="43"/>
        <v>299</v>
      </c>
      <c r="B479" s="5" t="s">
        <v>450</v>
      </c>
      <c r="C479" s="145">
        <f t="shared" si="42"/>
        <v>3638500.4</v>
      </c>
      <c r="D479" s="145"/>
      <c r="E479" s="143"/>
      <c r="F479" s="143"/>
      <c r="G479" s="143"/>
      <c r="H479" s="143"/>
      <c r="I479" s="143"/>
      <c r="J479" s="143"/>
      <c r="K479" s="143"/>
      <c r="L479" s="143"/>
      <c r="M479" s="143"/>
      <c r="N479" s="104">
        <v>190</v>
      </c>
      <c r="O479" s="104">
        <v>84087.11</v>
      </c>
      <c r="P479" s="104">
        <v>673.5</v>
      </c>
      <c r="Q479" s="145">
        <v>3199558.77</v>
      </c>
      <c r="R479" s="143"/>
      <c r="S479" s="143"/>
      <c r="T479" s="143"/>
      <c r="U479" s="143"/>
      <c r="V479" s="143"/>
      <c r="W479" s="143">
        <f>197673.85+157180.67</f>
        <v>354854.52</v>
      </c>
      <c r="X479" s="143"/>
      <c r="Y479" s="124"/>
      <c r="Z479" s="122"/>
      <c r="AA479" s="122"/>
      <c r="AB479" s="122"/>
    </row>
    <row r="480" spans="1:31" ht="18.75" customHeight="1" x14ac:dyDescent="0.25">
      <c r="A480" s="144">
        <f t="shared" si="43"/>
        <v>300</v>
      </c>
      <c r="B480" s="5" t="s">
        <v>451</v>
      </c>
      <c r="C480" s="145">
        <f t="shared" si="42"/>
        <v>3638500.4</v>
      </c>
      <c r="D480" s="145"/>
      <c r="E480" s="143"/>
      <c r="F480" s="143"/>
      <c r="G480" s="143"/>
      <c r="H480" s="143"/>
      <c r="I480" s="143"/>
      <c r="J480" s="143"/>
      <c r="K480" s="143"/>
      <c r="L480" s="143"/>
      <c r="M480" s="143"/>
      <c r="N480" s="104">
        <v>190</v>
      </c>
      <c r="O480" s="104">
        <v>84087.11</v>
      </c>
      <c r="P480" s="104">
        <v>673.5</v>
      </c>
      <c r="Q480" s="145">
        <v>3199558.77</v>
      </c>
      <c r="R480" s="143"/>
      <c r="S480" s="143"/>
      <c r="T480" s="143"/>
      <c r="U480" s="143"/>
      <c r="V480" s="143"/>
      <c r="W480" s="143">
        <f>197673.85+157180.67</f>
        <v>354854.52</v>
      </c>
      <c r="X480" s="143"/>
      <c r="Y480" s="124"/>
      <c r="Z480" s="122"/>
      <c r="AA480" s="122"/>
      <c r="AB480" s="122"/>
    </row>
    <row r="481" spans="1:31" ht="18.75" customHeight="1" x14ac:dyDescent="0.25">
      <c r="A481" s="144">
        <f t="shared" si="43"/>
        <v>301</v>
      </c>
      <c r="B481" s="5" t="s">
        <v>452</v>
      </c>
      <c r="C481" s="145">
        <f t="shared" si="42"/>
        <v>1330620.72</v>
      </c>
      <c r="D481" s="145"/>
      <c r="E481" s="142"/>
      <c r="F481" s="142"/>
      <c r="G481" s="142"/>
      <c r="H481" s="143"/>
      <c r="I481" s="143"/>
      <c r="J481" s="143"/>
      <c r="K481" s="143"/>
      <c r="L481" s="143"/>
      <c r="M481" s="143"/>
      <c r="N481" s="104"/>
      <c r="O481" s="104"/>
      <c r="P481" s="104">
        <v>480</v>
      </c>
      <c r="Q481" s="145">
        <v>1330620.72</v>
      </c>
      <c r="R481" s="143"/>
      <c r="S481" s="143"/>
      <c r="T481" s="143"/>
      <c r="U481" s="143"/>
      <c r="V481" s="143"/>
      <c r="W481" s="142"/>
      <c r="X481" s="143"/>
      <c r="Y481" s="124"/>
      <c r="Z481" s="122"/>
      <c r="AA481" s="122"/>
      <c r="AB481" s="122"/>
    </row>
    <row r="482" spans="1:31" ht="18.75" customHeight="1" x14ac:dyDescent="0.25">
      <c r="A482" s="144">
        <f t="shared" si="43"/>
        <v>302</v>
      </c>
      <c r="B482" s="5" t="s">
        <v>453</v>
      </c>
      <c r="C482" s="145">
        <f t="shared" si="42"/>
        <v>1928873.71</v>
      </c>
      <c r="D482" s="145"/>
      <c r="E482" s="143"/>
      <c r="F482" s="143"/>
      <c r="G482" s="143"/>
      <c r="H482" s="143"/>
      <c r="I482" s="143"/>
      <c r="J482" s="143"/>
      <c r="K482" s="143"/>
      <c r="L482" s="143"/>
      <c r="M482" s="143"/>
      <c r="N482" s="104"/>
      <c r="O482" s="104"/>
      <c r="P482" s="104">
        <v>801.73</v>
      </c>
      <c r="Q482" s="145">
        <v>1928873.71</v>
      </c>
      <c r="R482" s="143"/>
      <c r="S482" s="143"/>
      <c r="T482" s="143"/>
      <c r="U482" s="143"/>
      <c r="V482" s="143"/>
      <c r="W482" s="143"/>
      <c r="X482" s="143"/>
      <c r="Y482" s="124"/>
      <c r="Z482" s="122"/>
      <c r="AA482" s="122"/>
      <c r="AB482" s="122"/>
    </row>
    <row r="483" spans="1:31" ht="18.75" customHeight="1" x14ac:dyDescent="0.25">
      <c r="A483" s="144">
        <f t="shared" si="43"/>
        <v>303</v>
      </c>
      <c r="B483" s="5" t="s">
        <v>454</v>
      </c>
      <c r="C483" s="145">
        <f>D483+K483+M483+O483+Q483+S483+U483+V483+W483+X483</f>
        <v>3535440.2</v>
      </c>
      <c r="D483" s="145"/>
      <c r="E483" s="142"/>
      <c r="F483" s="142"/>
      <c r="G483" s="142"/>
      <c r="H483" s="143"/>
      <c r="I483" s="143"/>
      <c r="J483" s="143"/>
      <c r="K483" s="143"/>
      <c r="L483" s="104">
        <v>735.8</v>
      </c>
      <c r="M483" s="145">
        <v>3535440.2</v>
      </c>
      <c r="N483" s="142"/>
      <c r="O483" s="142"/>
      <c r="P483" s="142"/>
      <c r="Q483" s="142"/>
      <c r="R483" s="143"/>
      <c r="S483" s="143"/>
      <c r="T483" s="143"/>
      <c r="U483" s="143"/>
      <c r="V483" s="143"/>
      <c r="W483" s="142"/>
      <c r="X483" s="143"/>
      <c r="Y483" s="124"/>
      <c r="Z483" s="122"/>
      <c r="AB483" s="122"/>
    </row>
    <row r="484" spans="1:31" ht="18.75" customHeight="1" x14ac:dyDescent="0.25">
      <c r="A484" s="203" t="s">
        <v>18</v>
      </c>
      <c r="B484" s="203"/>
      <c r="C484" s="143">
        <f>SUM(C477:C483)</f>
        <v>21345055.82</v>
      </c>
      <c r="D484" s="143"/>
      <c r="E484" s="143"/>
      <c r="F484" s="143"/>
      <c r="G484" s="143"/>
      <c r="H484" s="143"/>
      <c r="I484" s="143"/>
      <c r="J484" s="143"/>
      <c r="K484" s="143"/>
      <c r="L484" s="143">
        <f t="shared" ref="L484:X484" si="44">SUM(L477:L483)</f>
        <v>735.8</v>
      </c>
      <c r="M484" s="143">
        <f t="shared" si="44"/>
        <v>3535440.2</v>
      </c>
      <c r="N484" s="143">
        <f t="shared" si="44"/>
        <v>760</v>
      </c>
      <c r="O484" s="143">
        <f t="shared" si="44"/>
        <v>336348.44</v>
      </c>
      <c r="P484" s="143">
        <f t="shared" si="44"/>
        <v>3975.73</v>
      </c>
      <c r="Q484" s="143">
        <f t="shared" si="44"/>
        <v>16053849.100000001</v>
      </c>
      <c r="R484" s="143"/>
      <c r="S484" s="143"/>
      <c r="T484" s="143"/>
      <c r="U484" s="143"/>
      <c r="V484" s="143"/>
      <c r="W484" s="143">
        <f t="shared" si="44"/>
        <v>1419418.08</v>
      </c>
      <c r="X484" s="143">
        <f t="shared" si="44"/>
        <v>0</v>
      </c>
      <c r="Y484" s="124"/>
      <c r="Z484" s="122"/>
      <c r="AA484" s="122"/>
      <c r="AB484" s="122"/>
      <c r="AE484" s="123"/>
    </row>
    <row r="485" spans="1:31" ht="18.75" customHeight="1" x14ac:dyDescent="0.25">
      <c r="A485" s="188" t="s">
        <v>96</v>
      </c>
      <c r="B485" s="188"/>
      <c r="C485" s="188"/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24"/>
      <c r="Z485" s="122"/>
      <c r="AB485" s="122"/>
    </row>
    <row r="486" spans="1:31" ht="18.75" customHeight="1" x14ac:dyDescent="0.25">
      <c r="A486" s="144">
        <f>A483+1</f>
        <v>304</v>
      </c>
      <c r="B486" s="69" t="s">
        <v>455</v>
      </c>
      <c r="C486" s="145">
        <f>D486+K486+M486+O486+Q486+S486+U486+V486+W486+X486</f>
        <v>3096547.6</v>
      </c>
      <c r="D486" s="145"/>
      <c r="E486" s="142"/>
      <c r="F486" s="143"/>
      <c r="G486" s="142"/>
      <c r="H486" s="143"/>
      <c r="I486" s="142"/>
      <c r="J486" s="142"/>
      <c r="K486" s="142"/>
      <c r="L486" s="104">
        <v>514</v>
      </c>
      <c r="M486" s="145">
        <v>2714499.14</v>
      </c>
      <c r="N486" s="104"/>
      <c r="O486" s="104"/>
      <c r="P486" s="104"/>
      <c r="Q486" s="104"/>
      <c r="R486" s="104"/>
      <c r="S486" s="104"/>
      <c r="T486" s="142"/>
      <c r="U486" s="142"/>
      <c r="V486" s="143"/>
      <c r="W486" s="145">
        <v>382048.46</v>
      </c>
      <c r="X486" s="145"/>
      <c r="Y486" s="124"/>
      <c r="Z486" s="122"/>
      <c r="AB486" s="122"/>
    </row>
    <row r="487" spans="1:31" ht="18.75" customHeight="1" x14ac:dyDescent="0.25">
      <c r="A487" s="147">
        <f>A486+1</f>
        <v>305</v>
      </c>
      <c r="B487" s="71" t="s">
        <v>574</v>
      </c>
      <c r="C487" s="145">
        <f>D487+K487+M487+O487+Q487+S487+U487+V487+W487+X487</f>
        <v>1020184.63</v>
      </c>
      <c r="D487" s="145">
        <f>E487+F487+G487+H487+I487</f>
        <v>1020184.63</v>
      </c>
      <c r="E487" s="143">
        <v>1020184.63</v>
      </c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24"/>
      <c r="Z487" s="122"/>
      <c r="AB487" s="122"/>
    </row>
    <row r="488" spans="1:31" ht="18.75" customHeight="1" x14ac:dyDescent="0.25">
      <c r="A488" s="144">
        <f>A487+1</f>
        <v>306</v>
      </c>
      <c r="B488" s="69" t="s">
        <v>97</v>
      </c>
      <c r="C488" s="145">
        <f>D488+K488+M488+O488+Q488+S488+U488+V488+W488+X488</f>
        <v>3104802.9</v>
      </c>
      <c r="D488" s="145"/>
      <c r="E488" s="142"/>
      <c r="F488" s="143"/>
      <c r="G488" s="143"/>
      <c r="H488" s="143"/>
      <c r="I488" s="143"/>
      <c r="J488" s="142"/>
      <c r="K488" s="142"/>
      <c r="L488" s="104">
        <v>535</v>
      </c>
      <c r="M488" s="145">
        <v>2937498.94</v>
      </c>
      <c r="N488" s="104"/>
      <c r="O488" s="104"/>
      <c r="P488" s="104"/>
      <c r="Q488" s="104"/>
      <c r="R488" s="104"/>
      <c r="S488" s="104"/>
      <c r="T488" s="142"/>
      <c r="U488" s="142"/>
      <c r="V488" s="143"/>
      <c r="W488" s="145">
        <v>167303.96</v>
      </c>
      <c r="X488" s="145"/>
      <c r="Y488" s="124"/>
      <c r="Z488" s="122"/>
      <c r="AB488" s="122"/>
    </row>
    <row r="489" spans="1:31" ht="18.75" customHeight="1" x14ac:dyDescent="0.25">
      <c r="A489" s="203" t="s">
        <v>18</v>
      </c>
      <c r="B489" s="203"/>
      <c r="C489" s="143">
        <f>SUM(C486:C488)</f>
        <v>7221535.1299999999</v>
      </c>
      <c r="D489" s="143">
        <f>SUM(D486:D488)</f>
        <v>1020184.63</v>
      </c>
      <c r="E489" s="143">
        <f>SUM(E486:E488)</f>
        <v>1020184.63</v>
      </c>
      <c r="F489" s="143"/>
      <c r="G489" s="143"/>
      <c r="H489" s="143"/>
      <c r="I489" s="143"/>
      <c r="J489" s="143"/>
      <c r="K489" s="143"/>
      <c r="L489" s="143">
        <f>SUM(L486:L488)</f>
        <v>1049</v>
      </c>
      <c r="M489" s="143">
        <f>SUM(M486:M488)</f>
        <v>5651998.0800000001</v>
      </c>
      <c r="N489" s="143"/>
      <c r="O489" s="143"/>
      <c r="P489" s="143"/>
      <c r="Q489" s="143"/>
      <c r="R489" s="143"/>
      <c r="S489" s="143"/>
      <c r="T489" s="143"/>
      <c r="U489" s="143"/>
      <c r="V489" s="143"/>
      <c r="W489" s="143">
        <f>SUM(W486:W488)</f>
        <v>549352.42000000004</v>
      </c>
      <c r="X489" s="143"/>
      <c r="Y489" s="124"/>
      <c r="Z489" s="122"/>
      <c r="AA489" s="122"/>
      <c r="AB489" s="122"/>
      <c r="AE489" s="123"/>
    </row>
    <row r="490" spans="1:31" ht="18.75" customHeight="1" x14ac:dyDescent="0.25">
      <c r="A490" s="188" t="s">
        <v>98</v>
      </c>
      <c r="B490" s="188"/>
      <c r="C490" s="142">
        <f>SUM(C489,C462,C484,C475,C472,C459)</f>
        <v>59347524.699999996</v>
      </c>
      <c r="D490" s="142">
        <f>SUM(D489,D462,D484,D475,D472,D459)</f>
        <v>1492867.05</v>
      </c>
      <c r="E490" s="142">
        <f>SUM(E489,E462,E484,E475,E472,E459)</f>
        <v>1492867.05</v>
      </c>
      <c r="F490" s="142"/>
      <c r="G490" s="142"/>
      <c r="H490" s="142"/>
      <c r="I490" s="142"/>
      <c r="J490" s="142"/>
      <c r="K490" s="142"/>
      <c r="L490" s="142">
        <f t="shared" ref="L490:Q490" si="45">SUM(L489,L462,L484,L475,L472,L459)</f>
        <v>9041.7999999999993</v>
      </c>
      <c r="M490" s="142">
        <f t="shared" si="45"/>
        <v>33847788.049999997</v>
      </c>
      <c r="N490" s="142">
        <f t="shared" si="45"/>
        <v>760</v>
      </c>
      <c r="O490" s="142">
        <f t="shared" si="45"/>
        <v>336348.44</v>
      </c>
      <c r="P490" s="142">
        <f t="shared" si="45"/>
        <v>4616.29</v>
      </c>
      <c r="Q490" s="142">
        <f t="shared" si="45"/>
        <v>19185617.5</v>
      </c>
      <c r="R490" s="142"/>
      <c r="S490" s="142"/>
      <c r="T490" s="142"/>
      <c r="U490" s="142"/>
      <c r="V490" s="142"/>
      <c r="W490" s="142">
        <f>SUM(W489,W462,W484,W475,W472,W459)</f>
        <v>4484903.66</v>
      </c>
      <c r="X490" s="142">
        <f>SUM(X489,X462,X484,X475,X472,X459)</f>
        <v>0</v>
      </c>
      <c r="Y490" s="124"/>
      <c r="Z490" s="122"/>
      <c r="AA490" s="122"/>
      <c r="AB490" s="122"/>
    </row>
    <row r="491" spans="1:31" ht="18.75" customHeight="1" x14ac:dyDescent="0.25">
      <c r="A491" s="223" t="s">
        <v>99</v>
      </c>
      <c r="B491" s="223"/>
      <c r="C491" s="223"/>
      <c r="D491" s="223"/>
      <c r="E491" s="223"/>
      <c r="F491" s="223"/>
      <c r="G491" s="223"/>
      <c r="H491" s="223"/>
      <c r="I491" s="223"/>
      <c r="J491" s="223"/>
      <c r="K491" s="223"/>
      <c r="L491" s="223"/>
      <c r="M491" s="223"/>
      <c r="N491" s="223"/>
      <c r="O491" s="223"/>
      <c r="P491" s="223"/>
      <c r="Q491" s="223"/>
      <c r="R491" s="223"/>
      <c r="S491" s="223"/>
      <c r="T491" s="223"/>
      <c r="U491" s="223"/>
      <c r="V491" s="223"/>
      <c r="W491" s="223"/>
      <c r="X491" s="223"/>
      <c r="Y491" s="124"/>
      <c r="Z491" s="122"/>
      <c r="AB491" s="122"/>
    </row>
    <row r="492" spans="1:31" ht="18.75" customHeight="1" x14ac:dyDescent="0.25">
      <c r="A492" s="224" t="s">
        <v>100</v>
      </c>
      <c r="B492" s="224"/>
      <c r="C492" s="224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24"/>
      <c r="Z492" s="122"/>
      <c r="AB492" s="122"/>
    </row>
    <row r="493" spans="1:31" ht="18.75" customHeight="1" x14ac:dyDescent="0.2">
      <c r="A493" s="106">
        <f>A488+1</f>
        <v>307</v>
      </c>
      <c r="B493" s="14" t="s">
        <v>101</v>
      </c>
      <c r="C493" s="145">
        <f>D493+K493+M493+O493+Q493+S493+U493+V493+W493+X493</f>
        <v>522742.88</v>
      </c>
      <c r="D493" s="145"/>
      <c r="E493" s="107"/>
      <c r="F493" s="107"/>
      <c r="G493" s="107"/>
      <c r="H493" s="107"/>
      <c r="I493" s="107"/>
      <c r="J493" s="107"/>
      <c r="K493" s="107"/>
      <c r="L493" s="107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>
        <v>522742.88</v>
      </c>
      <c r="X493" s="8"/>
      <c r="Y493" s="124"/>
      <c r="Z493" s="122"/>
      <c r="AB493" s="122"/>
    </row>
    <row r="494" spans="1:31" ht="18.75" customHeight="1" x14ac:dyDescent="0.25">
      <c r="A494" s="203" t="s">
        <v>18</v>
      </c>
      <c r="B494" s="203"/>
      <c r="C494" s="8">
        <f>C493</f>
        <v>522742.88</v>
      </c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>
        <f>W493</f>
        <v>522742.88</v>
      </c>
      <c r="X494" s="8"/>
      <c r="Y494" s="124"/>
      <c r="Z494" s="122"/>
      <c r="AA494" s="122"/>
      <c r="AB494" s="122"/>
    </row>
    <row r="495" spans="1:31" ht="18.75" customHeight="1" x14ac:dyDescent="0.25">
      <c r="A495" s="224" t="s">
        <v>102</v>
      </c>
      <c r="B495" s="224"/>
      <c r="C495" s="224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24"/>
      <c r="Z495" s="122"/>
      <c r="AB495" s="122"/>
    </row>
    <row r="496" spans="1:31" ht="18.75" customHeight="1" x14ac:dyDescent="0.2">
      <c r="A496" s="106">
        <f>A493+1</f>
        <v>308</v>
      </c>
      <c r="B496" s="14" t="s">
        <v>456</v>
      </c>
      <c r="C496" s="145">
        <f>D496+K496+M496+O496+Q496+S496+U496+V496+W496+X496</f>
        <v>1683577.62</v>
      </c>
      <c r="D496" s="145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>
        <v>1683577.62</v>
      </c>
      <c r="X496" s="8"/>
      <c r="Y496" s="124"/>
      <c r="Z496" s="122"/>
      <c r="AB496" s="122"/>
    </row>
    <row r="497" spans="1:28" ht="18.75" customHeight="1" x14ac:dyDescent="0.2">
      <c r="A497" s="106">
        <f>A496+1</f>
        <v>309</v>
      </c>
      <c r="B497" s="14" t="s">
        <v>457</v>
      </c>
      <c r="C497" s="145">
        <f>D497+K497+M497+O497+Q497+S497+U497+V497+W497+X497</f>
        <v>1683577.62</v>
      </c>
      <c r="D497" s="145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>
        <v>1683577.62</v>
      </c>
      <c r="X497" s="8"/>
      <c r="Y497" s="124"/>
      <c r="Z497" s="122"/>
      <c r="AB497" s="122"/>
    </row>
    <row r="498" spans="1:28" ht="18.75" customHeight="1" x14ac:dyDescent="0.2">
      <c r="A498" s="106">
        <f>A497+1</f>
        <v>310</v>
      </c>
      <c r="B498" s="14" t="s">
        <v>458</v>
      </c>
      <c r="C498" s="145">
        <f>D498+K498+M498+O498+Q498+S498+U498+V498+W498+X498</f>
        <v>473845.3</v>
      </c>
      <c r="D498" s="145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>
        <v>473845.3</v>
      </c>
      <c r="X498" s="8"/>
      <c r="Y498" s="124"/>
      <c r="Z498" s="122"/>
      <c r="AB498" s="122"/>
    </row>
    <row r="499" spans="1:28" ht="18.75" customHeight="1" x14ac:dyDescent="0.2">
      <c r="A499" s="106">
        <f>A498+1</f>
        <v>311</v>
      </c>
      <c r="B499" s="14" t="s">
        <v>459</v>
      </c>
      <c r="C499" s="145">
        <f>D499+K499+M499+O499+Q499+S499+U499+V499+W499+X499</f>
        <v>473845.3</v>
      </c>
      <c r="D499" s="145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>
        <v>473845.3</v>
      </c>
      <c r="X499" s="8"/>
      <c r="Y499" s="124"/>
      <c r="Z499" s="122"/>
      <c r="AB499" s="122"/>
    </row>
    <row r="500" spans="1:28" ht="18" customHeight="1" x14ac:dyDescent="0.25">
      <c r="A500" s="203" t="s">
        <v>18</v>
      </c>
      <c r="B500" s="203"/>
      <c r="C500" s="8">
        <f>SUM(C496:C499)</f>
        <v>4314845.84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>
        <f>SUM(W496:W499)</f>
        <v>4314845.84</v>
      </c>
      <c r="X500" s="8"/>
      <c r="Y500" s="124"/>
      <c r="Z500" s="122"/>
      <c r="AA500" s="122"/>
      <c r="AB500" s="122"/>
    </row>
    <row r="501" spans="1:28" ht="18" customHeight="1" x14ac:dyDescent="0.25">
      <c r="A501" s="224" t="s">
        <v>103</v>
      </c>
      <c r="B501" s="224"/>
      <c r="C501" s="224"/>
      <c r="D501" s="175"/>
      <c r="E501" s="175"/>
      <c r="F501" s="17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24"/>
      <c r="Z501" s="122"/>
      <c r="AB501" s="122"/>
    </row>
    <row r="502" spans="1:28" ht="18" customHeight="1" x14ac:dyDescent="0.25">
      <c r="A502" s="64">
        <f>A499+1</f>
        <v>312</v>
      </c>
      <c r="B502" s="5" t="s">
        <v>460</v>
      </c>
      <c r="C502" s="145">
        <f t="shared" ref="C502:C510" si="46">D502+K502+M502+O502+Q502+S502+U502+V502+W502+X502</f>
        <v>5719096.6299999999</v>
      </c>
      <c r="D502" s="145"/>
      <c r="E502" s="143"/>
      <c r="F502" s="143"/>
      <c r="G502" s="143"/>
      <c r="H502" s="143"/>
      <c r="I502" s="143"/>
      <c r="J502" s="143"/>
      <c r="K502" s="143"/>
      <c r="L502" s="108">
        <v>1092</v>
      </c>
      <c r="M502" s="108">
        <v>5350388</v>
      </c>
      <c r="N502" s="145"/>
      <c r="O502" s="145"/>
      <c r="P502" s="108"/>
      <c r="Q502" s="108"/>
      <c r="R502" s="8"/>
      <c r="S502" s="143"/>
      <c r="T502" s="8"/>
      <c r="U502" s="8"/>
      <c r="V502" s="107"/>
      <c r="W502" s="143">
        <f>159660.86+209047.77</f>
        <v>368708.63</v>
      </c>
      <c r="X502" s="143"/>
      <c r="Y502" s="124"/>
      <c r="Z502" s="122"/>
      <c r="AA502" s="122"/>
      <c r="AB502" s="122"/>
    </row>
    <row r="503" spans="1:28" ht="18" customHeight="1" x14ac:dyDescent="0.25">
      <c r="A503" s="64">
        <f>A502+1</f>
        <v>313</v>
      </c>
      <c r="B503" s="5" t="s">
        <v>461</v>
      </c>
      <c r="C503" s="145">
        <f t="shared" si="46"/>
        <v>9022680.6300000008</v>
      </c>
      <c r="D503" s="145"/>
      <c r="E503" s="143"/>
      <c r="F503" s="143"/>
      <c r="G503" s="143"/>
      <c r="H503" s="143"/>
      <c r="I503" s="143"/>
      <c r="J503" s="143"/>
      <c r="K503" s="143"/>
      <c r="L503" s="108">
        <v>989</v>
      </c>
      <c r="M503" s="108">
        <v>4984994</v>
      </c>
      <c r="N503" s="145"/>
      <c r="O503" s="145"/>
      <c r="P503" s="108">
        <v>1595.2</v>
      </c>
      <c r="Q503" s="108">
        <v>3668978</v>
      </c>
      <c r="R503" s="8"/>
      <c r="S503" s="143"/>
      <c r="T503" s="8"/>
      <c r="U503" s="8"/>
      <c r="V503" s="107"/>
      <c r="W503" s="143">
        <f>159660.86+209047.77</f>
        <v>368708.63</v>
      </c>
      <c r="X503" s="143"/>
      <c r="Y503" s="124"/>
      <c r="Z503" s="122"/>
      <c r="AA503" s="122"/>
      <c r="AB503" s="122"/>
    </row>
    <row r="504" spans="1:28" ht="18" customHeight="1" x14ac:dyDescent="0.25">
      <c r="A504" s="64">
        <f t="shared" ref="A504:A527" si="47">A503+1</f>
        <v>314</v>
      </c>
      <c r="B504" s="5" t="s">
        <v>469</v>
      </c>
      <c r="C504" s="145">
        <f>D504+K504+M504+O504+Q504+S504+U504+V504+W504+X504</f>
        <v>1534504.4</v>
      </c>
      <c r="D504" s="145"/>
      <c r="E504" s="143"/>
      <c r="F504" s="143"/>
      <c r="G504" s="143"/>
      <c r="H504" s="143"/>
      <c r="I504" s="143"/>
      <c r="J504" s="143"/>
      <c r="K504" s="143"/>
      <c r="L504" s="108"/>
      <c r="M504" s="108"/>
      <c r="N504" s="145"/>
      <c r="O504" s="145"/>
      <c r="P504" s="108"/>
      <c r="Q504" s="108"/>
      <c r="R504" s="8"/>
      <c r="S504" s="8"/>
      <c r="T504" s="8"/>
      <c r="U504" s="8"/>
      <c r="V504" s="107"/>
      <c r="W504" s="143">
        <v>1534504.4</v>
      </c>
      <c r="X504" s="143"/>
      <c r="Y504" s="124"/>
      <c r="Z504" s="122"/>
      <c r="AB504" s="122"/>
    </row>
    <row r="505" spans="1:28" ht="18" customHeight="1" x14ac:dyDescent="0.25">
      <c r="A505" s="64">
        <f t="shared" si="47"/>
        <v>315</v>
      </c>
      <c r="B505" s="5" t="s">
        <v>470</v>
      </c>
      <c r="C505" s="145">
        <f>D505+K505+M505+O505+Q505+S505+U505+V505+W505+X505</f>
        <v>1656624</v>
      </c>
      <c r="D505" s="145"/>
      <c r="E505" s="143"/>
      <c r="F505" s="143"/>
      <c r="G505" s="143"/>
      <c r="H505" s="143"/>
      <c r="I505" s="143"/>
      <c r="J505" s="143"/>
      <c r="K505" s="143"/>
      <c r="L505" s="108">
        <v>605</v>
      </c>
      <c r="M505" s="108">
        <v>1656624</v>
      </c>
      <c r="N505" s="145"/>
      <c r="O505" s="145"/>
      <c r="P505" s="108"/>
      <c r="Q505" s="108"/>
      <c r="R505" s="8"/>
      <c r="S505" s="8"/>
      <c r="T505" s="8"/>
      <c r="U505" s="8"/>
      <c r="V505" s="107"/>
      <c r="W505" s="143"/>
      <c r="X505" s="143"/>
      <c r="Y505" s="124"/>
      <c r="Z505" s="122"/>
      <c r="AB505" s="122"/>
    </row>
    <row r="506" spans="1:28" ht="18" customHeight="1" x14ac:dyDescent="0.25">
      <c r="A506" s="64">
        <f t="shared" si="47"/>
        <v>316</v>
      </c>
      <c r="B506" s="5" t="s">
        <v>462</v>
      </c>
      <c r="C506" s="145">
        <f t="shared" si="46"/>
        <v>8602715.6300000008</v>
      </c>
      <c r="D506" s="145"/>
      <c r="E506" s="143"/>
      <c r="F506" s="143"/>
      <c r="G506" s="143"/>
      <c r="H506" s="143"/>
      <c r="I506" s="143"/>
      <c r="J506" s="143"/>
      <c r="K506" s="143"/>
      <c r="L506" s="108">
        <v>897.7</v>
      </c>
      <c r="M506" s="108">
        <v>4984994</v>
      </c>
      <c r="N506" s="145"/>
      <c r="O506" s="145"/>
      <c r="P506" s="108">
        <v>1594.34</v>
      </c>
      <c r="Q506" s="108">
        <v>3249013</v>
      </c>
      <c r="R506" s="8"/>
      <c r="S506" s="143"/>
      <c r="T506" s="8"/>
      <c r="U506" s="8"/>
      <c r="V506" s="107"/>
      <c r="W506" s="143">
        <f>159660.86+209047.77</f>
        <v>368708.63</v>
      </c>
      <c r="X506" s="143"/>
      <c r="Y506" s="124"/>
      <c r="Z506" s="122"/>
      <c r="AA506" s="122"/>
      <c r="AB506" s="122"/>
    </row>
    <row r="507" spans="1:28" ht="18" customHeight="1" x14ac:dyDescent="0.25">
      <c r="A507" s="64">
        <f t="shared" si="47"/>
        <v>317</v>
      </c>
      <c r="B507" s="5" t="s">
        <v>463</v>
      </c>
      <c r="C507" s="145">
        <f t="shared" si="46"/>
        <v>4449694.75</v>
      </c>
      <c r="D507" s="145"/>
      <c r="E507" s="143"/>
      <c r="F507" s="143"/>
      <c r="G507" s="143"/>
      <c r="H507" s="143"/>
      <c r="I507" s="143"/>
      <c r="J507" s="143"/>
      <c r="K507" s="143"/>
      <c r="L507" s="108">
        <v>994</v>
      </c>
      <c r="M507" s="108">
        <v>4075187</v>
      </c>
      <c r="N507" s="145"/>
      <c r="O507" s="143"/>
      <c r="P507" s="108"/>
      <c r="Q507" s="108"/>
      <c r="R507" s="8"/>
      <c r="S507" s="143"/>
      <c r="T507" s="8"/>
      <c r="U507" s="8"/>
      <c r="V507" s="107"/>
      <c r="W507" s="143">
        <f>162333.29+212174.46</f>
        <v>374507.75</v>
      </c>
      <c r="X507" s="143"/>
      <c r="Y507" s="124"/>
      <c r="Z507" s="122"/>
      <c r="AA507" s="122"/>
      <c r="AB507" s="122"/>
    </row>
    <row r="508" spans="1:28" ht="18" customHeight="1" x14ac:dyDescent="0.25">
      <c r="A508" s="64">
        <f t="shared" si="47"/>
        <v>318</v>
      </c>
      <c r="B508" s="5" t="s">
        <v>464</v>
      </c>
      <c r="C508" s="145">
        <f t="shared" si="46"/>
        <v>7745969.75</v>
      </c>
      <c r="D508" s="145"/>
      <c r="E508" s="143"/>
      <c r="F508" s="143"/>
      <c r="G508" s="143"/>
      <c r="H508" s="143"/>
      <c r="I508" s="143"/>
      <c r="J508" s="143"/>
      <c r="K508" s="143"/>
      <c r="L508" s="108">
        <v>994</v>
      </c>
      <c r="M508" s="108">
        <v>4075187</v>
      </c>
      <c r="N508" s="145"/>
      <c r="O508" s="143"/>
      <c r="P508" s="108">
        <v>965</v>
      </c>
      <c r="Q508" s="108">
        <v>3296275</v>
      </c>
      <c r="R508" s="8"/>
      <c r="S508" s="143"/>
      <c r="T508" s="8"/>
      <c r="U508" s="8"/>
      <c r="V508" s="107"/>
      <c r="W508" s="143">
        <f>162333.29+212174.46</f>
        <v>374507.75</v>
      </c>
      <c r="X508" s="143"/>
      <c r="Y508" s="124"/>
      <c r="Z508" s="122"/>
      <c r="AA508" s="122"/>
      <c r="AB508" s="122"/>
    </row>
    <row r="509" spans="1:28" ht="18" customHeight="1" x14ac:dyDescent="0.25">
      <c r="A509" s="64">
        <f t="shared" si="47"/>
        <v>319</v>
      </c>
      <c r="B509" s="5" t="s">
        <v>465</v>
      </c>
      <c r="C509" s="145">
        <f t="shared" si="46"/>
        <v>4703685.6500000004</v>
      </c>
      <c r="D509" s="145"/>
      <c r="E509" s="143"/>
      <c r="F509" s="143"/>
      <c r="G509" s="143"/>
      <c r="H509" s="143"/>
      <c r="I509" s="143"/>
      <c r="J509" s="79">
        <v>1</v>
      </c>
      <c r="K509" s="78">
        <v>2165469.69</v>
      </c>
      <c r="L509" s="108"/>
      <c r="M509" s="108"/>
      <c r="N509" s="145"/>
      <c r="O509" s="145"/>
      <c r="P509" s="108"/>
      <c r="Q509" s="108"/>
      <c r="R509" s="8"/>
      <c r="S509" s="143"/>
      <c r="T509" s="8"/>
      <c r="U509" s="8"/>
      <c r="V509" s="107"/>
      <c r="W509" s="143">
        <f>441638.14+279104.14+1817473.68</f>
        <v>2538215.96</v>
      </c>
      <c r="X509" s="143"/>
      <c r="Y509" s="124"/>
      <c r="Z509" s="122"/>
      <c r="AB509" s="122"/>
    </row>
    <row r="510" spans="1:28" ht="18" customHeight="1" x14ac:dyDescent="0.25">
      <c r="A510" s="64">
        <f t="shared" si="47"/>
        <v>320</v>
      </c>
      <c r="B510" s="5" t="s">
        <v>466</v>
      </c>
      <c r="C510" s="145">
        <f t="shared" si="46"/>
        <v>4896697.59</v>
      </c>
      <c r="D510" s="145"/>
      <c r="E510" s="143"/>
      <c r="F510" s="143"/>
      <c r="G510" s="143"/>
      <c r="H510" s="143"/>
      <c r="I510" s="143"/>
      <c r="J510" s="144"/>
      <c r="K510" s="143"/>
      <c r="L510" s="108">
        <v>595</v>
      </c>
      <c r="M510" s="108">
        <v>2723898</v>
      </c>
      <c r="N510" s="145"/>
      <c r="O510" s="145"/>
      <c r="P510" s="108">
        <v>658</v>
      </c>
      <c r="Q510" s="108">
        <v>1827875</v>
      </c>
      <c r="R510" s="8"/>
      <c r="S510" s="143"/>
      <c r="T510" s="8"/>
      <c r="U510" s="8"/>
      <c r="V510" s="107"/>
      <c r="W510" s="143">
        <f>150099.86+194824.73</f>
        <v>344924.58999999997</v>
      </c>
      <c r="X510" s="143"/>
      <c r="Y510" s="124"/>
      <c r="Z510" s="122"/>
      <c r="AA510" s="122"/>
      <c r="AB510" s="122"/>
    </row>
    <row r="511" spans="1:28" ht="18" customHeight="1" x14ac:dyDescent="0.25">
      <c r="A511" s="64">
        <f t="shared" si="47"/>
        <v>321</v>
      </c>
      <c r="B511" s="5" t="s">
        <v>536</v>
      </c>
      <c r="C511" s="145">
        <f>D511+K511+M511+O511+Q511+S511+U511+V511+W511+X511</f>
        <v>5793568</v>
      </c>
      <c r="D511" s="145"/>
      <c r="E511" s="143"/>
      <c r="F511" s="143"/>
      <c r="G511" s="143"/>
      <c r="H511" s="143"/>
      <c r="I511" s="143"/>
      <c r="J511" s="144"/>
      <c r="K511" s="143"/>
      <c r="L511" s="109">
        <v>880</v>
      </c>
      <c r="M511" s="110">
        <v>4075187</v>
      </c>
      <c r="N511" s="145"/>
      <c r="O511" s="145"/>
      <c r="P511" s="110">
        <v>680</v>
      </c>
      <c r="Q511" s="110">
        <v>1718381</v>
      </c>
      <c r="R511" s="8"/>
      <c r="S511" s="143"/>
      <c r="T511" s="8"/>
      <c r="U511" s="8"/>
      <c r="V511" s="107"/>
      <c r="W511" s="143"/>
      <c r="X511" s="143"/>
      <c r="Y511" s="124"/>
      <c r="Z511" s="122"/>
      <c r="AA511" s="122"/>
      <c r="AB511" s="122"/>
    </row>
    <row r="512" spans="1:28" ht="18" customHeight="1" x14ac:dyDescent="0.25">
      <c r="A512" s="64">
        <f t="shared" si="47"/>
        <v>322</v>
      </c>
      <c r="B512" s="5" t="s">
        <v>537</v>
      </c>
      <c r="C512" s="145">
        <f>D512+K512+M512+O512+Q512+S512+U512+V512+W512+X512</f>
        <v>5648684</v>
      </c>
      <c r="D512" s="145"/>
      <c r="E512" s="143"/>
      <c r="F512" s="143"/>
      <c r="G512" s="143"/>
      <c r="H512" s="143"/>
      <c r="I512" s="143"/>
      <c r="J512" s="144"/>
      <c r="K512" s="143"/>
      <c r="L512" s="109">
        <v>890</v>
      </c>
      <c r="M512" s="110">
        <v>4075187</v>
      </c>
      <c r="N512" s="145"/>
      <c r="O512" s="145"/>
      <c r="P512" s="110">
        <v>675</v>
      </c>
      <c r="Q512" s="110">
        <v>1573497</v>
      </c>
      <c r="R512" s="8"/>
      <c r="S512" s="143"/>
      <c r="T512" s="8"/>
      <c r="U512" s="8"/>
      <c r="V512" s="107"/>
      <c r="W512" s="143"/>
      <c r="X512" s="143"/>
      <c r="Y512" s="124"/>
      <c r="Z512" s="122"/>
      <c r="AA512" s="122"/>
      <c r="AB512" s="122"/>
    </row>
    <row r="513" spans="1:31" ht="18" customHeight="1" x14ac:dyDescent="0.25">
      <c r="A513" s="64">
        <f t="shared" si="47"/>
        <v>323</v>
      </c>
      <c r="B513" s="5" t="s">
        <v>538</v>
      </c>
      <c r="C513" s="145">
        <f>D513+K513+M513+O513+Q513+S513+U513+V513+W513+X513</f>
        <v>1236959</v>
      </c>
      <c r="D513" s="145"/>
      <c r="E513" s="143"/>
      <c r="F513" s="143"/>
      <c r="G513" s="143"/>
      <c r="H513" s="143"/>
      <c r="I513" s="143"/>
      <c r="J513" s="144"/>
      <c r="K513" s="143"/>
      <c r="L513" s="109"/>
      <c r="M513" s="108"/>
      <c r="N513" s="145"/>
      <c r="O513" s="145"/>
      <c r="P513" s="110">
        <v>510</v>
      </c>
      <c r="Q513" s="110">
        <v>1236959</v>
      </c>
      <c r="R513" s="8"/>
      <c r="S513" s="143"/>
      <c r="T513" s="8"/>
      <c r="U513" s="8"/>
      <c r="V513" s="107"/>
      <c r="W513" s="143"/>
      <c r="X513" s="143"/>
      <c r="Y513" s="124"/>
      <c r="Z513" s="122"/>
      <c r="AA513" s="122"/>
      <c r="AB513" s="122"/>
    </row>
    <row r="514" spans="1:31" ht="18" customHeight="1" x14ac:dyDescent="0.25">
      <c r="A514" s="64">
        <f t="shared" si="47"/>
        <v>324</v>
      </c>
      <c r="B514" s="5" t="s">
        <v>539</v>
      </c>
      <c r="C514" s="145">
        <f>D514+K514+M514+O514+Q514+S514+U514+V514+W514+X514</f>
        <v>3746980</v>
      </c>
      <c r="D514" s="145"/>
      <c r="E514" s="143"/>
      <c r="F514" s="143"/>
      <c r="G514" s="143"/>
      <c r="H514" s="143"/>
      <c r="I514" s="143"/>
      <c r="J514" s="144"/>
      <c r="K514" s="143"/>
      <c r="L514" s="109">
        <v>700</v>
      </c>
      <c r="M514" s="110">
        <v>2506416</v>
      </c>
      <c r="N514" s="145"/>
      <c r="O514" s="145"/>
      <c r="P514" s="110">
        <v>520</v>
      </c>
      <c r="Q514" s="110">
        <v>1240564</v>
      </c>
      <c r="R514" s="8"/>
      <c r="S514" s="143"/>
      <c r="T514" s="8"/>
      <c r="U514" s="8"/>
      <c r="V514" s="107"/>
      <c r="W514" s="143"/>
      <c r="X514" s="143"/>
      <c r="Y514" s="124"/>
      <c r="Z514" s="122"/>
      <c r="AA514" s="122"/>
      <c r="AB514" s="122"/>
    </row>
    <row r="515" spans="1:31" ht="18" customHeight="1" x14ac:dyDescent="0.25">
      <c r="A515" s="64">
        <f t="shared" si="47"/>
        <v>325</v>
      </c>
      <c r="B515" s="5" t="s">
        <v>525</v>
      </c>
      <c r="C515" s="145">
        <f t="shared" ref="C515:C525" si="48">D515+K515+M515+O515+Q515+S515+U515+V515+W515+X515</f>
        <v>1081590</v>
      </c>
      <c r="D515" s="145"/>
      <c r="E515" s="143"/>
      <c r="F515" s="143"/>
      <c r="G515" s="143"/>
      <c r="H515" s="143"/>
      <c r="I515" s="143"/>
      <c r="J515" s="144"/>
      <c r="K515" s="143"/>
      <c r="L515" s="15"/>
      <c r="M515" s="15"/>
      <c r="N515" s="145"/>
      <c r="O515" s="145"/>
      <c r="P515" s="111">
        <v>705.2</v>
      </c>
      <c r="Q515" s="111">
        <v>1081590</v>
      </c>
      <c r="R515" s="8"/>
      <c r="S515" s="143"/>
      <c r="T515" s="8"/>
      <c r="U515" s="8"/>
      <c r="V515" s="107"/>
      <c r="W515" s="143"/>
      <c r="X515" s="143"/>
      <c r="Y515" s="124"/>
      <c r="Z515" s="122"/>
      <c r="AA515" s="122"/>
      <c r="AB515" s="122"/>
    </row>
    <row r="516" spans="1:31" ht="18" customHeight="1" x14ac:dyDescent="0.25">
      <c r="A516" s="64">
        <f t="shared" si="47"/>
        <v>326</v>
      </c>
      <c r="B516" s="5" t="s">
        <v>526</v>
      </c>
      <c r="C516" s="145">
        <f t="shared" si="48"/>
        <v>3898848</v>
      </c>
      <c r="D516" s="145"/>
      <c r="E516" s="143"/>
      <c r="F516" s="143"/>
      <c r="G516" s="143"/>
      <c r="H516" s="143"/>
      <c r="I516" s="143"/>
      <c r="J516" s="144"/>
      <c r="K516" s="143"/>
      <c r="L516" s="15">
        <v>520</v>
      </c>
      <c r="M516" s="111">
        <v>2501052</v>
      </c>
      <c r="N516" s="145"/>
      <c r="O516" s="145"/>
      <c r="P516" s="111">
        <v>795.3</v>
      </c>
      <c r="Q516" s="111">
        <v>1397796</v>
      </c>
      <c r="R516" s="8"/>
      <c r="S516" s="143"/>
      <c r="T516" s="8"/>
      <c r="U516" s="8"/>
      <c r="V516" s="107"/>
      <c r="W516" s="143"/>
      <c r="X516" s="143"/>
      <c r="Y516" s="124"/>
      <c r="Z516" s="122"/>
      <c r="AA516" s="122"/>
      <c r="AB516" s="122"/>
    </row>
    <row r="517" spans="1:31" ht="18" customHeight="1" x14ac:dyDescent="0.25">
      <c r="A517" s="64">
        <f t="shared" si="47"/>
        <v>327</v>
      </c>
      <c r="B517" s="5" t="s">
        <v>527</v>
      </c>
      <c r="C517" s="145">
        <f t="shared" si="48"/>
        <v>2203646</v>
      </c>
      <c r="D517" s="145"/>
      <c r="E517" s="143"/>
      <c r="F517" s="143"/>
      <c r="G517" s="143"/>
      <c r="H517" s="143"/>
      <c r="I517" s="143"/>
      <c r="J517" s="144"/>
      <c r="K517" s="143"/>
      <c r="L517" s="15">
        <v>273</v>
      </c>
      <c r="M517" s="111">
        <v>1317082</v>
      </c>
      <c r="N517" s="145"/>
      <c r="O517" s="145"/>
      <c r="P517" s="111">
        <v>416</v>
      </c>
      <c r="Q517" s="111">
        <v>886564</v>
      </c>
      <c r="R517" s="8"/>
      <c r="S517" s="143"/>
      <c r="T517" s="8"/>
      <c r="U517" s="8"/>
      <c r="V517" s="107"/>
      <c r="W517" s="143"/>
      <c r="X517" s="143"/>
      <c r="Y517" s="124"/>
      <c r="Z517" s="122"/>
      <c r="AA517" s="122"/>
      <c r="AB517" s="122"/>
    </row>
    <row r="518" spans="1:31" ht="18" customHeight="1" x14ac:dyDescent="0.25">
      <c r="A518" s="64">
        <f t="shared" si="47"/>
        <v>328</v>
      </c>
      <c r="B518" s="5" t="s">
        <v>528</v>
      </c>
      <c r="C518" s="145">
        <f t="shared" si="48"/>
        <v>3966262</v>
      </c>
      <c r="D518" s="145"/>
      <c r="E518" s="143"/>
      <c r="F518" s="143"/>
      <c r="G518" s="143"/>
      <c r="H518" s="143"/>
      <c r="I518" s="143"/>
      <c r="J518" s="144"/>
      <c r="K518" s="143"/>
      <c r="L518" s="15">
        <v>533</v>
      </c>
      <c r="M518" s="111">
        <v>2501052</v>
      </c>
      <c r="N518" s="145"/>
      <c r="O518" s="145"/>
      <c r="P518" s="111">
        <v>737.2</v>
      </c>
      <c r="Q518" s="111">
        <v>1465210</v>
      </c>
      <c r="R518" s="8"/>
      <c r="S518" s="143"/>
      <c r="T518" s="8"/>
      <c r="U518" s="8"/>
      <c r="V518" s="107"/>
      <c r="W518" s="143"/>
      <c r="X518" s="143"/>
      <c r="Y518" s="124"/>
      <c r="Z518" s="122"/>
      <c r="AA518" s="122"/>
      <c r="AB518" s="122"/>
    </row>
    <row r="519" spans="1:31" ht="18" customHeight="1" x14ac:dyDescent="0.25">
      <c r="A519" s="64">
        <f t="shared" si="47"/>
        <v>329</v>
      </c>
      <c r="B519" s="5" t="s">
        <v>529</v>
      </c>
      <c r="C519" s="145">
        <f t="shared" si="48"/>
        <v>7998420</v>
      </c>
      <c r="D519" s="145"/>
      <c r="E519" s="143"/>
      <c r="F519" s="143"/>
      <c r="G519" s="143"/>
      <c r="H519" s="143"/>
      <c r="I519" s="143"/>
      <c r="J519" s="144"/>
      <c r="K519" s="143"/>
      <c r="L519" s="15" t="s">
        <v>540</v>
      </c>
      <c r="M519" s="111">
        <v>5916993</v>
      </c>
      <c r="N519" s="145"/>
      <c r="O519" s="145"/>
      <c r="P519" s="111">
        <v>1900.6</v>
      </c>
      <c r="Q519" s="111">
        <v>2081427</v>
      </c>
      <c r="R519" s="8"/>
      <c r="S519" s="143"/>
      <c r="T519" s="8"/>
      <c r="U519" s="8"/>
      <c r="V519" s="107"/>
      <c r="W519" s="143"/>
      <c r="X519" s="143"/>
      <c r="Y519" s="124"/>
      <c r="Z519" s="122"/>
      <c r="AA519" s="122"/>
      <c r="AB519" s="122"/>
    </row>
    <row r="520" spans="1:31" ht="18" customHeight="1" x14ac:dyDescent="0.25">
      <c r="A520" s="64">
        <f t="shared" si="47"/>
        <v>330</v>
      </c>
      <c r="B520" s="5" t="s">
        <v>531</v>
      </c>
      <c r="C520" s="145">
        <f>D520+K520+M520+O520+Q520+S520+U520+V520+W520+X520</f>
        <v>9359859</v>
      </c>
      <c r="D520" s="145"/>
      <c r="E520" s="143"/>
      <c r="F520" s="143"/>
      <c r="G520" s="143"/>
      <c r="H520" s="143"/>
      <c r="I520" s="143"/>
      <c r="J520" s="144"/>
      <c r="K520" s="143"/>
      <c r="L520" s="15">
        <v>1100</v>
      </c>
      <c r="M520" s="111">
        <v>4925497</v>
      </c>
      <c r="N520" s="145"/>
      <c r="O520" s="145"/>
      <c r="P520" s="111">
        <v>1933</v>
      </c>
      <c r="Q520" s="111">
        <v>4434362</v>
      </c>
      <c r="R520" s="8"/>
      <c r="S520" s="143"/>
      <c r="T520" s="8"/>
      <c r="U520" s="8"/>
      <c r="V520" s="107"/>
      <c r="W520" s="143"/>
      <c r="X520" s="143"/>
      <c r="Y520" s="124"/>
      <c r="Z520" s="122"/>
      <c r="AA520" s="122"/>
      <c r="AB520" s="122"/>
    </row>
    <row r="521" spans="1:31" ht="18" customHeight="1" x14ac:dyDescent="0.2">
      <c r="A521" s="64">
        <f t="shared" si="47"/>
        <v>331</v>
      </c>
      <c r="B521" s="5" t="s">
        <v>532</v>
      </c>
      <c r="C521" s="145">
        <f>D521+K521+M521+O521+Q521+S521+U521+V521+W521+X521</f>
        <v>4431613</v>
      </c>
      <c r="D521" s="145"/>
      <c r="E521" s="143"/>
      <c r="F521" s="143"/>
      <c r="G521" s="143"/>
      <c r="H521" s="143"/>
      <c r="I521" s="143"/>
      <c r="J521" s="144"/>
      <c r="K521" s="143"/>
      <c r="L521" s="15">
        <v>785.14</v>
      </c>
      <c r="M521" s="112">
        <v>4075187</v>
      </c>
      <c r="N521" s="145"/>
      <c r="O521" s="145"/>
      <c r="P521" s="145"/>
      <c r="Q521" s="145"/>
      <c r="R521" s="8"/>
      <c r="S521" s="143"/>
      <c r="T521" s="8"/>
      <c r="U521" s="8"/>
      <c r="V521" s="107"/>
      <c r="W521" s="143">
        <v>356426</v>
      </c>
      <c r="X521" s="143"/>
      <c r="Y521" s="124"/>
      <c r="Z521" s="122"/>
      <c r="AA521" s="122"/>
      <c r="AB521" s="122"/>
    </row>
    <row r="522" spans="1:31" ht="18" customHeight="1" x14ac:dyDescent="0.25">
      <c r="A522" s="64">
        <f t="shared" si="47"/>
        <v>332</v>
      </c>
      <c r="B522" s="5" t="s">
        <v>533</v>
      </c>
      <c r="C522" s="145">
        <f>D522+K522+M522+O522+Q522+S522+U522+V522+W522+X522</f>
        <v>6592016</v>
      </c>
      <c r="D522" s="145"/>
      <c r="E522" s="143"/>
      <c r="F522" s="143"/>
      <c r="G522" s="143"/>
      <c r="H522" s="143"/>
      <c r="I522" s="143"/>
      <c r="J522" s="144"/>
      <c r="K522" s="143"/>
      <c r="L522" s="15">
        <v>835</v>
      </c>
      <c r="M522" s="111">
        <v>4075187</v>
      </c>
      <c r="N522" s="145"/>
      <c r="O522" s="145"/>
      <c r="P522" s="111">
        <v>687.2</v>
      </c>
      <c r="Q522" s="111">
        <v>2516829</v>
      </c>
      <c r="R522" s="8"/>
      <c r="S522" s="143"/>
      <c r="T522" s="8"/>
      <c r="U522" s="8"/>
      <c r="V522" s="107"/>
      <c r="W522" s="143"/>
      <c r="X522" s="143"/>
      <c r="Y522" s="124"/>
      <c r="Z522" s="122"/>
      <c r="AA522" s="122"/>
      <c r="AB522" s="122"/>
    </row>
    <row r="523" spans="1:31" ht="18" customHeight="1" x14ac:dyDescent="0.2">
      <c r="A523" s="64">
        <f t="shared" si="47"/>
        <v>333</v>
      </c>
      <c r="B523" s="5" t="s">
        <v>534</v>
      </c>
      <c r="C523" s="145">
        <f>D523+K523+M523+O523+Q523+S523+U523+V523+W523+X523</f>
        <v>4383481</v>
      </c>
      <c r="D523" s="145"/>
      <c r="E523" s="143"/>
      <c r="F523" s="143"/>
      <c r="G523" s="143"/>
      <c r="H523" s="143"/>
      <c r="I523" s="143"/>
      <c r="J523" s="144"/>
      <c r="K523" s="143"/>
      <c r="L523" s="34">
        <v>626</v>
      </c>
      <c r="M523" s="113">
        <v>2723898</v>
      </c>
      <c r="N523" s="145"/>
      <c r="O523" s="145"/>
      <c r="P523" s="113">
        <v>446</v>
      </c>
      <c r="Q523" s="113">
        <v>1659583</v>
      </c>
      <c r="R523" s="8"/>
      <c r="S523" s="143"/>
      <c r="T523" s="8"/>
      <c r="U523" s="8"/>
      <c r="V523" s="107"/>
      <c r="W523" s="143"/>
      <c r="X523" s="143"/>
      <c r="Y523" s="124"/>
      <c r="Z523" s="122"/>
      <c r="AA523" s="122"/>
      <c r="AB523" s="122"/>
    </row>
    <row r="524" spans="1:31" ht="18" customHeight="1" x14ac:dyDescent="0.25">
      <c r="A524" s="64">
        <f t="shared" si="47"/>
        <v>334</v>
      </c>
      <c r="B524" s="5" t="s">
        <v>535</v>
      </c>
      <c r="C524" s="145">
        <f>D524+K524+M524+O524+Q524+S524+U524+V524+W524+X524</f>
        <v>4896318</v>
      </c>
      <c r="D524" s="145"/>
      <c r="E524" s="143"/>
      <c r="F524" s="143"/>
      <c r="G524" s="143"/>
      <c r="H524" s="143"/>
      <c r="I524" s="143"/>
      <c r="J524" s="144"/>
      <c r="K524" s="143"/>
      <c r="L524" s="15">
        <v>1073</v>
      </c>
      <c r="M524" s="111">
        <v>4896318</v>
      </c>
      <c r="N524" s="145"/>
      <c r="O524" s="145"/>
      <c r="P524" s="111"/>
      <c r="Q524" s="111"/>
      <c r="R524" s="8"/>
      <c r="S524" s="143"/>
      <c r="T524" s="8"/>
      <c r="U524" s="8"/>
      <c r="V524" s="107"/>
      <c r="W524" s="143"/>
      <c r="X524" s="143"/>
      <c r="Y524" s="124"/>
      <c r="Z524" s="122"/>
      <c r="AA524" s="122"/>
      <c r="AB524" s="122"/>
    </row>
    <row r="525" spans="1:31" ht="18" customHeight="1" x14ac:dyDescent="0.25">
      <c r="A525" s="64">
        <f t="shared" si="47"/>
        <v>335</v>
      </c>
      <c r="B525" s="5" t="s">
        <v>530</v>
      </c>
      <c r="C525" s="145">
        <f t="shared" si="48"/>
        <v>7376384</v>
      </c>
      <c r="D525" s="145"/>
      <c r="E525" s="143"/>
      <c r="F525" s="143"/>
      <c r="G525" s="143"/>
      <c r="H525" s="143"/>
      <c r="I525" s="143"/>
      <c r="J525" s="144"/>
      <c r="K525" s="143"/>
      <c r="L525" s="15">
        <v>1159</v>
      </c>
      <c r="M525" s="111">
        <v>4925497</v>
      </c>
      <c r="N525" s="145"/>
      <c r="O525" s="145"/>
      <c r="P525" s="111">
        <v>1855.6</v>
      </c>
      <c r="Q525" s="111">
        <v>2450887</v>
      </c>
      <c r="R525" s="8"/>
      <c r="S525" s="143"/>
      <c r="T525" s="8"/>
      <c r="U525" s="8"/>
      <c r="V525" s="107"/>
      <c r="W525" s="143"/>
      <c r="X525" s="143"/>
      <c r="Y525" s="124"/>
      <c r="Z525" s="122"/>
      <c r="AA525" s="122"/>
      <c r="AB525" s="122"/>
    </row>
    <row r="526" spans="1:31" ht="18" customHeight="1" x14ac:dyDescent="0.25">
      <c r="A526" s="64">
        <f t="shared" si="47"/>
        <v>336</v>
      </c>
      <c r="B526" s="5" t="s">
        <v>467</v>
      </c>
      <c r="C526" s="145">
        <f>D526+K526+M526+O526+Q526+S526+U526+V526+W526+X526</f>
        <v>3188931.67</v>
      </c>
      <c r="D526" s="145"/>
      <c r="E526" s="143"/>
      <c r="F526" s="143"/>
      <c r="G526" s="143"/>
      <c r="H526" s="143"/>
      <c r="I526" s="143"/>
      <c r="J526" s="144"/>
      <c r="K526" s="143"/>
      <c r="L526" s="108">
        <v>625</v>
      </c>
      <c r="M526" s="108">
        <v>2547350</v>
      </c>
      <c r="N526" s="145"/>
      <c r="O526" s="145"/>
      <c r="P526" s="108"/>
      <c r="Q526" s="108"/>
      <c r="R526" s="8"/>
      <c r="S526" s="143"/>
      <c r="T526" s="8"/>
      <c r="U526" s="8"/>
      <c r="V526" s="107"/>
      <c r="W526" s="143">
        <f>180912.17+460669.5</f>
        <v>641581.67000000004</v>
      </c>
      <c r="X526" s="143"/>
      <c r="Y526" s="124"/>
      <c r="Z526" s="122"/>
      <c r="AB526" s="122"/>
    </row>
    <row r="527" spans="1:31" ht="18" customHeight="1" x14ac:dyDescent="0.25">
      <c r="A527" s="64">
        <f t="shared" si="47"/>
        <v>337</v>
      </c>
      <c r="B527" s="5" t="s">
        <v>468</v>
      </c>
      <c r="C527" s="145">
        <f>D527+K527+M527+O527+Q527+S527+U527+V527+W527+X527</f>
        <v>4789861.38</v>
      </c>
      <c r="D527" s="145"/>
      <c r="E527" s="143"/>
      <c r="F527" s="143"/>
      <c r="G527" s="143"/>
      <c r="H527" s="143"/>
      <c r="I527" s="143"/>
      <c r="J527" s="144"/>
      <c r="K527" s="143"/>
      <c r="L527" s="108">
        <v>625</v>
      </c>
      <c r="M527" s="108">
        <v>2716721</v>
      </c>
      <c r="N527" s="145"/>
      <c r="O527" s="145"/>
      <c r="P527" s="108">
        <v>700</v>
      </c>
      <c r="Q527" s="108">
        <v>1916361</v>
      </c>
      <c r="R527" s="8"/>
      <c r="S527" s="143"/>
      <c r="T527" s="8"/>
      <c r="U527" s="8"/>
      <c r="V527" s="107"/>
      <c r="W527" s="143">
        <v>156779.38</v>
      </c>
      <c r="X527" s="143"/>
      <c r="Y527" s="124"/>
      <c r="Z527" s="122"/>
      <c r="AA527" s="122"/>
      <c r="AB527" s="122"/>
    </row>
    <row r="528" spans="1:31" ht="18" customHeight="1" x14ac:dyDescent="0.25">
      <c r="A528" s="203" t="s">
        <v>18</v>
      </c>
      <c r="B528" s="203"/>
      <c r="C528" s="107">
        <f>SUM(C502:C527)</f>
        <v>128925090.08</v>
      </c>
      <c r="D528" s="107"/>
      <c r="E528" s="107"/>
      <c r="F528" s="107"/>
      <c r="G528" s="107"/>
      <c r="H528" s="107"/>
      <c r="I528" s="107"/>
      <c r="J528" s="64">
        <f t="shared" ref="J528:W528" si="49">SUM(J502:J527)</f>
        <v>1</v>
      </c>
      <c r="K528" s="107">
        <f t="shared" si="49"/>
        <v>2165469.69</v>
      </c>
      <c r="L528" s="107">
        <f t="shared" si="49"/>
        <v>16790.84</v>
      </c>
      <c r="M528" s="107">
        <f t="shared" si="49"/>
        <v>81629896</v>
      </c>
      <c r="N528" s="107"/>
      <c r="O528" s="107"/>
      <c r="P528" s="107">
        <f t="shared" si="49"/>
        <v>17373.64</v>
      </c>
      <c r="Q528" s="107">
        <f t="shared" si="49"/>
        <v>37702151</v>
      </c>
      <c r="R528" s="107"/>
      <c r="S528" s="107"/>
      <c r="T528" s="107"/>
      <c r="U528" s="107"/>
      <c r="V528" s="107"/>
      <c r="W528" s="107">
        <f t="shared" si="49"/>
        <v>7427573.3899999997</v>
      </c>
      <c r="X528" s="107"/>
      <c r="Y528" s="124"/>
      <c r="Z528" s="122"/>
      <c r="AA528" s="122"/>
      <c r="AB528" s="122"/>
      <c r="AE528" s="123"/>
    </row>
    <row r="529" spans="1:31" ht="18" customHeight="1" x14ac:dyDescent="0.25">
      <c r="A529" s="188" t="s">
        <v>104</v>
      </c>
      <c r="B529" s="188"/>
      <c r="C529" s="150">
        <f>C494+C500+C528</f>
        <v>133762678.8</v>
      </c>
      <c r="D529" s="150"/>
      <c r="E529" s="150"/>
      <c r="F529" s="150"/>
      <c r="G529" s="150"/>
      <c r="H529" s="150"/>
      <c r="I529" s="150"/>
      <c r="J529" s="114">
        <f>J494+J500+J528</f>
        <v>1</v>
      </c>
      <c r="K529" s="150">
        <f>K494+K500+K528</f>
        <v>2165469.69</v>
      </c>
      <c r="L529" s="150">
        <f>L494+L500+L528</f>
        <v>16790.84</v>
      </c>
      <c r="M529" s="150">
        <f>M494+M500+M528</f>
        <v>81629896</v>
      </c>
      <c r="N529" s="150"/>
      <c r="O529" s="150"/>
      <c r="P529" s="150">
        <f>P494+P500+P528</f>
        <v>17373.64</v>
      </c>
      <c r="Q529" s="150">
        <f>Q494+Q500+Q528</f>
        <v>37702151</v>
      </c>
      <c r="R529" s="150"/>
      <c r="S529" s="150"/>
      <c r="T529" s="150"/>
      <c r="U529" s="150"/>
      <c r="V529" s="150"/>
      <c r="W529" s="150">
        <f>W494+W500+W528</f>
        <v>12265162.109999999</v>
      </c>
      <c r="X529" s="150">
        <f>X494+X500+X528</f>
        <v>0</v>
      </c>
      <c r="Y529" s="124"/>
      <c r="Z529" s="122"/>
      <c r="AA529" s="122"/>
      <c r="AB529" s="122"/>
    </row>
    <row r="530" spans="1:31" ht="18" customHeight="1" x14ac:dyDescent="0.25">
      <c r="A530" s="223" t="s">
        <v>105</v>
      </c>
      <c r="B530" s="223"/>
      <c r="C530" s="223"/>
      <c r="D530" s="223"/>
      <c r="E530" s="223"/>
      <c r="F530" s="223"/>
      <c r="G530" s="223"/>
      <c r="H530" s="223"/>
      <c r="I530" s="223"/>
      <c r="J530" s="223"/>
      <c r="K530" s="223"/>
      <c r="L530" s="223"/>
      <c r="M530" s="223"/>
      <c r="N530" s="223"/>
      <c r="O530" s="223"/>
      <c r="P530" s="223"/>
      <c r="Q530" s="223"/>
      <c r="R530" s="223"/>
      <c r="S530" s="223"/>
      <c r="T530" s="223"/>
      <c r="U530" s="223"/>
      <c r="V530" s="223"/>
      <c r="W530" s="223"/>
      <c r="X530" s="223"/>
      <c r="Y530" s="124"/>
      <c r="Z530" s="122"/>
      <c r="AB530" s="122"/>
    </row>
    <row r="531" spans="1:31" ht="18" customHeight="1" x14ac:dyDescent="0.25">
      <c r="A531" s="106">
        <f>A527+1</f>
        <v>338</v>
      </c>
      <c r="B531" s="5" t="s">
        <v>471</v>
      </c>
      <c r="C531" s="145">
        <f t="shared" ref="C531:C539" si="50">D531+K531+M531+O531+Q531+S531+U531+V531+W531+X531</f>
        <v>5529161.4199999999</v>
      </c>
      <c r="D531" s="145"/>
      <c r="E531" s="145"/>
      <c r="F531" s="82"/>
      <c r="G531" s="8"/>
      <c r="H531" s="82"/>
      <c r="I531" s="82"/>
      <c r="J531" s="115"/>
      <c r="K531" s="82"/>
      <c r="L531" s="116">
        <v>1050</v>
      </c>
      <c r="M531" s="145">
        <v>5185144.91</v>
      </c>
      <c r="N531" s="8"/>
      <c r="O531" s="8"/>
      <c r="P531" s="8"/>
      <c r="Q531" s="8"/>
      <c r="R531" s="8"/>
      <c r="S531" s="8"/>
      <c r="T531" s="8"/>
      <c r="U531" s="8"/>
      <c r="V531" s="8"/>
      <c r="W531" s="143">
        <v>344016.51</v>
      </c>
      <c r="X531" s="143"/>
      <c r="Y531" s="124"/>
      <c r="Z531" s="122"/>
      <c r="AB531" s="122"/>
    </row>
    <row r="532" spans="1:31" ht="18" customHeight="1" x14ac:dyDescent="0.25">
      <c r="A532" s="106">
        <f>A531+1</f>
        <v>339</v>
      </c>
      <c r="B532" s="5" t="s">
        <v>472</v>
      </c>
      <c r="C532" s="145">
        <f t="shared" si="50"/>
        <v>478153.33</v>
      </c>
      <c r="D532" s="145"/>
      <c r="E532" s="82"/>
      <c r="F532" s="82"/>
      <c r="G532" s="8"/>
      <c r="H532" s="82"/>
      <c r="I532" s="82"/>
      <c r="J532" s="115"/>
      <c r="K532" s="82"/>
      <c r="L532" s="82"/>
      <c r="M532" s="82"/>
      <c r="N532" s="8"/>
      <c r="O532" s="8"/>
      <c r="P532" s="8"/>
      <c r="Q532" s="8"/>
      <c r="R532" s="8"/>
      <c r="S532" s="8"/>
      <c r="T532" s="8"/>
      <c r="U532" s="8"/>
      <c r="V532" s="8"/>
      <c r="W532" s="143">
        <v>478153.33</v>
      </c>
      <c r="X532" s="143"/>
      <c r="Y532" s="124"/>
      <c r="Z532" s="122"/>
      <c r="AB532" s="122"/>
    </row>
    <row r="533" spans="1:31" ht="18" customHeight="1" x14ac:dyDescent="0.25">
      <c r="A533" s="106">
        <f t="shared" ref="A533:A543" si="51">A532+1</f>
        <v>340</v>
      </c>
      <c r="B533" s="5" t="s">
        <v>473</v>
      </c>
      <c r="C533" s="145">
        <f t="shared" si="50"/>
        <v>428343.92</v>
      </c>
      <c r="D533" s="145"/>
      <c r="E533" s="82"/>
      <c r="F533" s="82"/>
      <c r="G533" s="8"/>
      <c r="H533" s="82"/>
      <c r="I533" s="82"/>
      <c r="J533" s="115"/>
      <c r="K533" s="82"/>
      <c r="L533" s="82"/>
      <c r="M533" s="87"/>
      <c r="N533" s="8"/>
      <c r="O533" s="8"/>
      <c r="P533" s="8"/>
      <c r="Q533" s="8"/>
      <c r="R533" s="8"/>
      <c r="S533" s="8"/>
      <c r="T533" s="8"/>
      <c r="U533" s="8"/>
      <c r="V533" s="8"/>
      <c r="W533" s="82">
        <v>428343.92</v>
      </c>
      <c r="X533" s="82"/>
      <c r="Y533" s="124"/>
      <c r="Z533" s="122"/>
      <c r="AB533" s="122"/>
    </row>
    <row r="534" spans="1:31" ht="18" customHeight="1" x14ac:dyDescent="0.25">
      <c r="A534" s="106">
        <f t="shared" si="51"/>
        <v>341</v>
      </c>
      <c r="B534" s="5" t="s">
        <v>474</v>
      </c>
      <c r="C534" s="145">
        <f t="shared" si="50"/>
        <v>4849950</v>
      </c>
      <c r="D534" s="145"/>
      <c r="E534" s="145"/>
      <c r="F534" s="145"/>
      <c r="G534" s="8"/>
      <c r="H534" s="145"/>
      <c r="I534" s="145"/>
      <c r="J534" s="147">
        <v>2</v>
      </c>
      <c r="K534" s="87">
        <v>4849950</v>
      </c>
      <c r="L534" s="145"/>
      <c r="M534" s="145"/>
      <c r="N534" s="8"/>
      <c r="O534" s="8"/>
      <c r="P534" s="8"/>
      <c r="Q534" s="8"/>
      <c r="R534" s="8"/>
      <c r="S534" s="8"/>
      <c r="T534" s="8"/>
      <c r="U534" s="8"/>
      <c r="V534" s="8"/>
      <c r="W534" s="145"/>
      <c r="X534" s="145"/>
      <c r="Y534" s="124"/>
      <c r="Z534" s="122"/>
      <c r="AB534" s="122"/>
    </row>
    <row r="535" spans="1:31" ht="18" customHeight="1" x14ac:dyDescent="0.25">
      <c r="A535" s="106">
        <f t="shared" si="51"/>
        <v>342</v>
      </c>
      <c r="B535" s="5" t="s">
        <v>475</v>
      </c>
      <c r="C535" s="145">
        <f t="shared" si="50"/>
        <v>1484935.53</v>
      </c>
      <c r="D535" s="145"/>
      <c r="E535" s="82"/>
      <c r="F535" s="82"/>
      <c r="G535" s="8"/>
      <c r="H535" s="82"/>
      <c r="I535" s="82"/>
      <c r="J535" s="115"/>
      <c r="K535" s="82"/>
      <c r="L535" s="116">
        <v>1021</v>
      </c>
      <c r="M535" s="145">
        <v>1484935.53</v>
      </c>
      <c r="N535" s="8"/>
      <c r="O535" s="8"/>
      <c r="P535" s="8"/>
      <c r="Q535" s="8"/>
      <c r="R535" s="8"/>
      <c r="S535" s="8"/>
      <c r="T535" s="8"/>
      <c r="U535" s="8"/>
      <c r="V535" s="8"/>
      <c r="W535" s="145"/>
      <c r="X535" s="145"/>
      <c r="Y535" s="124"/>
      <c r="Z535" s="122"/>
      <c r="AB535" s="122"/>
    </row>
    <row r="536" spans="1:31" ht="18" customHeight="1" x14ac:dyDescent="0.25">
      <c r="A536" s="106">
        <f t="shared" si="51"/>
        <v>343</v>
      </c>
      <c r="B536" s="5" t="s">
        <v>476</v>
      </c>
      <c r="C536" s="145">
        <f t="shared" si="50"/>
        <v>4849950</v>
      </c>
      <c r="D536" s="145"/>
      <c r="E536" s="145"/>
      <c r="F536" s="145"/>
      <c r="G536" s="8"/>
      <c r="H536" s="145"/>
      <c r="I536" s="145"/>
      <c r="J536" s="147">
        <v>2</v>
      </c>
      <c r="K536" s="87">
        <v>4849950</v>
      </c>
      <c r="L536" s="145"/>
      <c r="M536" s="145"/>
      <c r="N536" s="8"/>
      <c r="O536" s="8"/>
      <c r="P536" s="8"/>
      <c r="Q536" s="8"/>
      <c r="R536" s="8"/>
      <c r="S536" s="8"/>
      <c r="T536" s="8"/>
      <c r="U536" s="8"/>
      <c r="V536" s="8"/>
      <c r="W536" s="145"/>
      <c r="X536" s="145"/>
      <c r="Y536" s="124"/>
      <c r="Z536" s="122"/>
      <c r="AB536" s="122"/>
    </row>
    <row r="537" spans="1:31" ht="18" customHeight="1" x14ac:dyDescent="0.25">
      <c r="A537" s="106">
        <f t="shared" si="51"/>
        <v>344</v>
      </c>
      <c r="B537" s="5" t="s">
        <v>477</v>
      </c>
      <c r="C537" s="145">
        <f t="shared" si="50"/>
        <v>3057973.68</v>
      </c>
      <c r="D537" s="145"/>
      <c r="E537" s="82"/>
      <c r="F537" s="82"/>
      <c r="G537" s="8"/>
      <c r="H537" s="82"/>
      <c r="I537" s="82"/>
      <c r="J537" s="115"/>
      <c r="K537" s="82"/>
      <c r="L537" s="116">
        <v>794</v>
      </c>
      <c r="M537" s="145">
        <v>2881110.33</v>
      </c>
      <c r="N537" s="8"/>
      <c r="O537" s="8"/>
      <c r="P537" s="8"/>
      <c r="Q537" s="8"/>
      <c r="R537" s="8"/>
      <c r="S537" s="8"/>
      <c r="T537" s="8"/>
      <c r="U537" s="8"/>
      <c r="V537" s="8"/>
      <c r="W537" s="82">
        <v>176863.35</v>
      </c>
      <c r="X537" s="82"/>
      <c r="Y537" s="124"/>
      <c r="Z537" s="122"/>
      <c r="AB537" s="122"/>
    </row>
    <row r="538" spans="1:31" ht="18" customHeight="1" x14ac:dyDescent="0.25">
      <c r="A538" s="106">
        <f t="shared" si="51"/>
        <v>345</v>
      </c>
      <c r="B538" s="5" t="s">
        <v>478</v>
      </c>
      <c r="C538" s="145">
        <f t="shared" si="50"/>
        <v>371050.09</v>
      </c>
      <c r="D538" s="145"/>
      <c r="E538" s="82"/>
      <c r="F538" s="82"/>
      <c r="G538" s="8"/>
      <c r="H538" s="82"/>
      <c r="I538" s="82"/>
      <c r="J538" s="115"/>
      <c r="K538" s="87"/>
      <c r="L538" s="82"/>
      <c r="M538" s="82"/>
      <c r="N538" s="8"/>
      <c r="O538" s="8"/>
      <c r="P538" s="8"/>
      <c r="Q538" s="8"/>
      <c r="R538" s="8"/>
      <c r="S538" s="8"/>
      <c r="T538" s="8"/>
      <c r="U538" s="8"/>
      <c r="V538" s="8"/>
      <c r="W538" s="82">
        <v>371050.09</v>
      </c>
      <c r="X538" s="82"/>
      <c r="Y538" s="124"/>
      <c r="Z538" s="122"/>
      <c r="AB538" s="122"/>
    </row>
    <row r="539" spans="1:31" ht="18" customHeight="1" x14ac:dyDescent="0.25">
      <c r="A539" s="106">
        <f t="shared" si="51"/>
        <v>346</v>
      </c>
      <c r="B539" s="5" t="s">
        <v>479</v>
      </c>
      <c r="C539" s="145">
        <f t="shared" si="50"/>
        <v>371050.09</v>
      </c>
      <c r="D539" s="145"/>
      <c r="E539" s="82"/>
      <c r="F539" s="82"/>
      <c r="G539" s="8"/>
      <c r="H539" s="82"/>
      <c r="I539" s="82"/>
      <c r="J539" s="115"/>
      <c r="K539" s="82"/>
      <c r="L539" s="82"/>
      <c r="M539" s="82"/>
      <c r="N539" s="8"/>
      <c r="O539" s="8"/>
      <c r="P539" s="8"/>
      <c r="Q539" s="8"/>
      <c r="R539" s="8"/>
      <c r="S539" s="8"/>
      <c r="T539" s="8"/>
      <c r="U539" s="8"/>
      <c r="V539" s="8"/>
      <c r="W539" s="82">
        <v>371050.09</v>
      </c>
      <c r="X539" s="82"/>
      <c r="Y539" s="124"/>
      <c r="Z539" s="122"/>
      <c r="AB539" s="122"/>
    </row>
    <row r="540" spans="1:31" ht="18" customHeight="1" x14ac:dyDescent="0.25">
      <c r="A540" s="106">
        <f t="shared" si="51"/>
        <v>347</v>
      </c>
      <c r="B540" s="5" t="s">
        <v>480</v>
      </c>
      <c r="C540" s="145">
        <f>D540+K540+M540+O540+Q540+S540+U540+V540+W540+X540</f>
        <v>2814999.86</v>
      </c>
      <c r="D540" s="145"/>
      <c r="E540" s="82"/>
      <c r="F540" s="82"/>
      <c r="G540" s="8"/>
      <c r="H540" s="82"/>
      <c r="I540" s="82"/>
      <c r="J540" s="115"/>
      <c r="K540" s="82"/>
      <c r="L540" s="116">
        <v>794</v>
      </c>
      <c r="M540" s="145">
        <v>2814999.86</v>
      </c>
      <c r="N540" s="8"/>
      <c r="O540" s="8"/>
      <c r="P540" s="8"/>
      <c r="Q540" s="8"/>
      <c r="R540" s="8"/>
      <c r="S540" s="8"/>
      <c r="T540" s="8"/>
      <c r="U540" s="8"/>
      <c r="V540" s="8"/>
      <c r="W540" s="82"/>
      <c r="X540" s="82"/>
      <c r="Y540" s="124"/>
      <c r="Z540" s="122"/>
      <c r="AB540" s="122"/>
    </row>
    <row r="541" spans="1:31" ht="18" customHeight="1" x14ac:dyDescent="0.25">
      <c r="A541" s="106">
        <f t="shared" si="51"/>
        <v>348</v>
      </c>
      <c r="B541" s="5" t="s">
        <v>481</v>
      </c>
      <c r="C541" s="145">
        <f>D541+K541+M541+O541+Q541+S541+U541+V541+W541+X541</f>
        <v>5182822.34</v>
      </c>
      <c r="D541" s="145"/>
      <c r="E541" s="145"/>
      <c r="F541" s="82"/>
      <c r="G541" s="8"/>
      <c r="H541" s="82"/>
      <c r="I541" s="82"/>
      <c r="J541" s="115"/>
      <c r="K541" s="82"/>
      <c r="L541" s="145"/>
      <c r="M541" s="145"/>
      <c r="N541" s="8"/>
      <c r="O541" s="8"/>
      <c r="P541" s="8">
        <v>3512</v>
      </c>
      <c r="Q541" s="145">
        <v>4714965.16</v>
      </c>
      <c r="R541" s="8"/>
      <c r="S541" s="8"/>
      <c r="T541" s="8"/>
      <c r="U541" s="8"/>
      <c r="V541" s="8"/>
      <c r="W541" s="82">
        <v>467857.18</v>
      </c>
      <c r="X541" s="82"/>
      <c r="Y541" s="124"/>
      <c r="Z541" s="122"/>
      <c r="AA541" s="122"/>
      <c r="AB541" s="122"/>
    </row>
    <row r="542" spans="1:31" ht="18" customHeight="1" x14ac:dyDescent="0.25">
      <c r="A542" s="106">
        <f t="shared" si="51"/>
        <v>349</v>
      </c>
      <c r="B542" s="5" t="s">
        <v>482</v>
      </c>
      <c r="C542" s="145">
        <f>D542+K542+M542+O542+Q542+S542+U542+V542+W542+X542</f>
        <v>2421774.0299999998</v>
      </c>
      <c r="D542" s="145"/>
      <c r="E542" s="82"/>
      <c r="F542" s="82"/>
      <c r="G542" s="8"/>
      <c r="H542" s="82"/>
      <c r="I542" s="82"/>
      <c r="J542" s="115">
        <v>1</v>
      </c>
      <c r="K542" s="82">
        <v>2421774.0299999998</v>
      </c>
      <c r="L542" s="82"/>
      <c r="M542" s="82"/>
      <c r="N542" s="8"/>
      <c r="O542" s="8"/>
      <c r="P542" s="8"/>
      <c r="Q542" s="8"/>
      <c r="R542" s="8"/>
      <c r="S542" s="8"/>
      <c r="T542" s="8"/>
      <c r="U542" s="8"/>
      <c r="V542" s="8"/>
      <c r="W542" s="82"/>
      <c r="X542" s="82"/>
      <c r="Y542" s="124"/>
      <c r="Z542" s="122"/>
      <c r="AB542" s="122"/>
    </row>
    <row r="543" spans="1:31" ht="18" customHeight="1" x14ac:dyDescent="0.25">
      <c r="A543" s="106">
        <f t="shared" si="51"/>
        <v>350</v>
      </c>
      <c r="B543" s="5" t="s">
        <v>483</v>
      </c>
      <c r="C543" s="145">
        <f>D543+K543+M543+O543+Q543+S543+U543+V543+W543+X543</f>
        <v>2778051.36</v>
      </c>
      <c r="D543" s="145"/>
      <c r="E543" s="145"/>
      <c r="F543" s="145"/>
      <c r="G543" s="8"/>
      <c r="H543" s="145"/>
      <c r="I543" s="145"/>
      <c r="J543" s="147">
        <v>1</v>
      </c>
      <c r="K543" s="145">
        <v>2778051.36</v>
      </c>
      <c r="L543" s="145"/>
      <c r="M543" s="145"/>
      <c r="N543" s="8"/>
      <c r="O543" s="8"/>
      <c r="P543" s="8"/>
      <c r="Q543" s="8"/>
      <c r="R543" s="8"/>
      <c r="S543" s="8"/>
      <c r="T543" s="8"/>
      <c r="U543" s="8"/>
      <c r="V543" s="8"/>
      <c r="W543" s="145"/>
      <c r="X543" s="145"/>
      <c r="Y543" s="124"/>
      <c r="Z543" s="122"/>
      <c r="AB543" s="122"/>
    </row>
    <row r="544" spans="1:31" ht="18" customHeight="1" x14ac:dyDescent="0.25">
      <c r="A544" s="224" t="s">
        <v>18</v>
      </c>
      <c r="B544" s="224"/>
      <c r="C544" s="150">
        <f>SUM(C531:C543)</f>
        <v>34618215.649999999</v>
      </c>
      <c r="D544" s="150"/>
      <c r="E544" s="150"/>
      <c r="F544" s="150"/>
      <c r="G544" s="150"/>
      <c r="H544" s="150"/>
      <c r="I544" s="150"/>
      <c r="J544" s="114">
        <f>SUM(J531:J543)</f>
        <v>6</v>
      </c>
      <c r="K544" s="150">
        <f>SUM(K531:K543)</f>
        <v>14899725.389999999</v>
      </c>
      <c r="L544" s="150">
        <f>SUM(L531:L543)</f>
        <v>3659</v>
      </c>
      <c r="M544" s="150">
        <f>SUM(M531:M543)</f>
        <v>12366190.629999999</v>
      </c>
      <c r="N544" s="150"/>
      <c r="O544" s="150"/>
      <c r="P544" s="150">
        <f>SUM(P531:P543)</f>
        <v>3512</v>
      </c>
      <c r="Q544" s="150">
        <f>SUM(Q531:Q543)</f>
        <v>4714965.16</v>
      </c>
      <c r="R544" s="150"/>
      <c r="S544" s="150"/>
      <c r="T544" s="150"/>
      <c r="U544" s="150"/>
      <c r="V544" s="150"/>
      <c r="W544" s="150">
        <f>SUM(W531:W543)</f>
        <v>2637334.4700000002</v>
      </c>
      <c r="X544" s="150">
        <f>SUM(X531:X543)</f>
        <v>0</v>
      </c>
      <c r="Y544" s="124"/>
      <c r="Z544" s="122"/>
      <c r="AA544" s="122"/>
      <c r="AB544" s="122"/>
      <c r="AE544" s="123"/>
    </row>
    <row r="545" spans="1:31" ht="18" customHeight="1" x14ac:dyDescent="0.25">
      <c r="A545" s="204" t="s">
        <v>166</v>
      </c>
      <c r="B545" s="204"/>
      <c r="C545" s="204"/>
      <c r="D545" s="204"/>
      <c r="E545" s="204"/>
      <c r="F545" s="204"/>
      <c r="G545" s="204"/>
      <c r="H545" s="204"/>
      <c r="I545" s="204"/>
      <c r="J545" s="204"/>
      <c r="K545" s="204"/>
      <c r="L545" s="204"/>
      <c r="M545" s="204"/>
      <c r="N545" s="204"/>
      <c r="O545" s="204"/>
      <c r="P545" s="204"/>
      <c r="Q545" s="204"/>
      <c r="R545" s="204"/>
      <c r="S545" s="204"/>
      <c r="T545" s="204"/>
      <c r="U545" s="204"/>
      <c r="V545" s="204"/>
      <c r="W545" s="204"/>
      <c r="X545" s="204"/>
      <c r="Y545" s="124"/>
      <c r="Z545" s="122"/>
      <c r="AA545" s="121"/>
      <c r="AB545" s="122"/>
    </row>
    <row r="546" spans="1:31" ht="18" customHeight="1" x14ac:dyDescent="0.25">
      <c r="A546" s="188" t="s">
        <v>121</v>
      </c>
      <c r="B546" s="188"/>
      <c r="C546" s="188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24"/>
      <c r="Z546" s="122"/>
      <c r="AA546" s="121"/>
      <c r="AB546" s="122"/>
    </row>
    <row r="547" spans="1:31" ht="18" customHeight="1" x14ac:dyDescent="0.25">
      <c r="A547" s="144">
        <f>A543+1</f>
        <v>351</v>
      </c>
      <c r="B547" s="5" t="s">
        <v>484</v>
      </c>
      <c r="C547" s="145">
        <f>D547+K547+M547+O547+Q547+S547+U547+V547+W547+X547</f>
        <v>1674383.42</v>
      </c>
      <c r="D547" s="145"/>
      <c r="E547" s="142"/>
      <c r="F547" s="142"/>
      <c r="G547" s="142"/>
      <c r="H547" s="142"/>
      <c r="I547" s="142"/>
      <c r="J547" s="142"/>
      <c r="K547" s="142"/>
      <c r="L547" s="143">
        <v>402.7</v>
      </c>
      <c r="M547" s="145">
        <v>1674383.42</v>
      </c>
      <c r="N547" s="142"/>
      <c r="O547" s="142"/>
      <c r="P547" s="142"/>
      <c r="Q547" s="142"/>
      <c r="R547" s="142"/>
      <c r="S547" s="142"/>
      <c r="T547" s="142"/>
      <c r="U547" s="142"/>
      <c r="V547" s="145"/>
      <c r="W547" s="145"/>
      <c r="X547" s="145"/>
      <c r="Y547" s="124"/>
      <c r="Z547" s="122"/>
      <c r="AA547" s="121"/>
      <c r="AB547" s="122"/>
    </row>
    <row r="548" spans="1:31" ht="18" customHeight="1" x14ac:dyDescent="0.25">
      <c r="A548" s="144">
        <f>A547+1</f>
        <v>352</v>
      </c>
      <c r="B548" s="5" t="s">
        <v>485</v>
      </c>
      <c r="C548" s="145">
        <f>D548+K548+M548+O548+Q548+S548+U548+V548+W548+X548</f>
        <v>1539804.81</v>
      </c>
      <c r="D548" s="145"/>
      <c r="E548" s="142"/>
      <c r="F548" s="142"/>
      <c r="G548" s="142"/>
      <c r="H548" s="142"/>
      <c r="I548" s="142"/>
      <c r="J548" s="142"/>
      <c r="K548" s="142"/>
      <c r="L548" s="143">
        <v>402.7</v>
      </c>
      <c r="M548" s="145">
        <v>1539804.81</v>
      </c>
      <c r="N548" s="142"/>
      <c r="O548" s="142"/>
      <c r="P548" s="142"/>
      <c r="Q548" s="142"/>
      <c r="R548" s="142"/>
      <c r="S548" s="142"/>
      <c r="T548" s="142"/>
      <c r="U548" s="142"/>
      <c r="V548" s="145"/>
      <c r="W548" s="145"/>
      <c r="X548" s="145"/>
      <c r="Y548" s="124"/>
      <c r="Z548" s="122"/>
      <c r="AA548" s="121"/>
      <c r="AB548" s="122"/>
    </row>
    <row r="549" spans="1:31" ht="18" customHeight="1" x14ac:dyDescent="0.25">
      <c r="A549" s="203" t="s">
        <v>18</v>
      </c>
      <c r="B549" s="203"/>
      <c r="C549" s="145">
        <f>SUM(C547:C548)</f>
        <v>3214188.23</v>
      </c>
      <c r="D549" s="145"/>
      <c r="E549" s="145"/>
      <c r="F549" s="145"/>
      <c r="G549" s="145"/>
      <c r="H549" s="145"/>
      <c r="I549" s="145"/>
      <c r="J549" s="145"/>
      <c r="K549" s="145"/>
      <c r="L549" s="145">
        <f>SUM(L547:L548)</f>
        <v>805.4</v>
      </c>
      <c r="M549" s="145">
        <f>SUM(M547:M548)</f>
        <v>3214188.23</v>
      </c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>
        <f>SUM(X547:X548)</f>
        <v>0</v>
      </c>
      <c r="Y549" s="124"/>
      <c r="Z549" s="122"/>
      <c r="AA549" s="122"/>
      <c r="AB549" s="122"/>
      <c r="AE549" s="123"/>
    </row>
    <row r="550" spans="1:31" ht="18" customHeight="1" x14ac:dyDescent="0.25">
      <c r="A550" s="188" t="s">
        <v>167</v>
      </c>
      <c r="B550" s="188"/>
      <c r="C550" s="188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24"/>
      <c r="Z550" s="122"/>
      <c r="AA550" s="121"/>
      <c r="AB550" s="122"/>
    </row>
    <row r="551" spans="1:31" ht="18" customHeight="1" x14ac:dyDescent="0.25">
      <c r="A551" s="144">
        <f>A548+1</f>
        <v>353</v>
      </c>
      <c r="B551" s="5" t="s">
        <v>602</v>
      </c>
      <c r="C551" s="145">
        <f>D551+K551+M551+O551+Q551+S551+U551+V551+W551+X551</f>
        <v>1767351.8</v>
      </c>
      <c r="D551" s="145"/>
      <c r="E551" s="142"/>
      <c r="F551" s="142"/>
      <c r="G551" s="142"/>
      <c r="H551" s="142"/>
      <c r="I551" s="142"/>
      <c r="J551" s="142"/>
      <c r="K551" s="142"/>
      <c r="L551" s="143">
        <v>448.17</v>
      </c>
      <c r="M551" s="143">
        <v>1767351.8</v>
      </c>
      <c r="N551" s="143"/>
      <c r="O551" s="143"/>
      <c r="P551" s="142"/>
      <c r="Q551" s="142"/>
      <c r="R551" s="142"/>
      <c r="S551" s="142"/>
      <c r="T551" s="142"/>
      <c r="U551" s="142"/>
      <c r="V551" s="145"/>
      <c r="W551" s="145"/>
      <c r="X551" s="145"/>
      <c r="Y551" s="124"/>
      <c r="Z551" s="122"/>
      <c r="AA551" s="121"/>
      <c r="AB551" s="122"/>
    </row>
    <row r="552" spans="1:31" ht="18" customHeight="1" x14ac:dyDescent="0.25">
      <c r="A552" s="203" t="s">
        <v>18</v>
      </c>
      <c r="B552" s="203"/>
      <c r="C552" s="143">
        <f>SUM(C551:C551)</f>
        <v>1767351.8</v>
      </c>
      <c r="D552" s="143">
        <f>SUM(D551:D551)</f>
        <v>0</v>
      </c>
      <c r="E552" s="143"/>
      <c r="F552" s="143">
        <f>SUM(F551:F551)</f>
        <v>0</v>
      </c>
      <c r="G552" s="143"/>
      <c r="H552" s="143">
        <f>SUM(H551:H551)</f>
        <v>0</v>
      </c>
      <c r="I552" s="143"/>
      <c r="J552" s="143"/>
      <c r="K552" s="143"/>
      <c r="L552" s="143">
        <f>SUM(L551:L551)</f>
        <v>448.17</v>
      </c>
      <c r="M552" s="143">
        <f>SUM(M551:M551)</f>
        <v>1767351.8</v>
      </c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>
        <f>SUM(X551:X551)</f>
        <v>0</v>
      </c>
      <c r="Y552" s="124"/>
      <c r="Z552" s="122"/>
      <c r="AA552" s="122"/>
      <c r="AB552" s="122"/>
      <c r="AE552" s="123"/>
    </row>
    <row r="553" spans="1:31" ht="18" customHeight="1" x14ac:dyDescent="0.25">
      <c r="A553" s="188" t="s">
        <v>168</v>
      </c>
      <c r="B553" s="188"/>
      <c r="C553" s="188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24"/>
      <c r="Z553" s="122"/>
      <c r="AA553" s="121"/>
      <c r="AB553" s="122"/>
    </row>
    <row r="554" spans="1:31" ht="18" customHeight="1" x14ac:dyDescent="0.25">
      <c r="A554" s="144">
        <f>A551+1</f>
        <v>354</v>
      </c>
      <c r="B554" s="27" t="s">
        <v>169</v>
      </c>
      <c r="C554" s="145">
        <f>D554+K554+M554+O554+Q554+S554+U554+V554+W554+X554</f>
        <v>6437278.2199999997</v>
      </c>
      <c r="D554" s="145"/>
      <c r="E554" s="145"/>
      <c r="F554" s="145"/>
      <c r="G554" s="145"/>
      <c r="H554" s="145"/>
      <c r="I554" s="145"/>
      <c r="J554" s="145"/>
      <c r="K554" s="145"/>
      <c r="L554" s="145">
        <v>662</v>
      </c>
      <c r="M554" s="145">
        <v>2205058.34</v>
      </c>
      <c r="N554" s="145"/>
      <c r="O554" s="145"/>
      <c r="P554" s="145">
        <v>810</v>
      </c>
      <c r="Q554" s="145">
        <v>1460950.14</v>
      </c>
      <c r="R554" s="145"/>
      <c r="S554" s="145"/>
      <c r="T554" s="145">
        <v>630</v>
      </c>
      <c r="U554" s="145">
        <v>2771269.74</v>
      </c>
      <c r="V554" s="145"/>
      <c r="W554" s="145"/>
      <c r="X554" s="145"/>
      <c r="Y554" s="124"/>
      <c r="Z554" s="122"/>
      <c r="AA554" s="122"/>
      <c r="AB554" s="122"/>
    </row>
    <row r="555" spans="1:31" ht="19.5" customHeight="1" x14ac:dyDescent="0.25">
      <c r="A555" s="203" t="s">
        <v>18</v>
      </c>
      <c r="B555" s="203"/>
      <c r="C555" s="145">
        <f>SUM(C554:C554)</f>
        <v>6437278.2199999997</v>
      </c>
      <c r="D555" s="145"/>
      <c r="E555" s="145"/>
      <c r="F555" s="145"/>
      <c r="G555" s="145"/>
      <c r="H555" s="145"/>
      <c r="I555" s="145"/>
      <c r="J555" s="145"/>
      <c r="K555" s="145"/>
      <c r="L555" s="145">
        <f>SUM(L554:L554)</f>
        <v>662</v>
      </c>
      <c r="M555" s="145">
        <f>SUM(M554:M554)</f>
        <v>2205058.34</v>
      </c>
      <c r="N555" s="145"/>
      <c r="O555" s="145"/>
      <c r="P555" s="145">
        <f>SUM(P554:P554)</f>
        <v>810</v>
      </c>
      <c r="Q555" s="145">
        <f>SUM(Q554:Q554)</f>
        <v>1460950.14</v>
      </c>
      <c r="R555" s="145"/>
      <c r="S555" s="145"/>
      <c r="T555" s="145">
        <f>SUM(T554:T554)</f>
        <v>630</v>
      </c>
      <c r="U555" s="145">
        <f>SUM(U554:U554)</f>
        <v>2771269.74</v>
      </c>
      <c r="V555" s="145"/>
      <c r="W555" s="145"/>
      <c r="X555" s="145">
        <f>SUM(X554:X554)</f>
        <v>0</v>
      </c>
      <c r="Y555" s="124"/>
      <c r="Z555" s="122"/>
      <c r="AA555" s="122"/>
      <c r="AB555" s="122"/>
      <c r="AE555" s="123"/>
    </row>
    <row r="556" spans="1:31" ht="19.5" customHeight="1" x14ac:dyDescent="0.25">
      <c r="A556" s="188" t="s">
        <v>170</v>
      </c>
      <c r="B556" s="188"/>
      <c r="C556" s="188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24"/>
      <c r="Z556" s="122"/>
      <c r="AA556" s="121"/>
      <c r="AB556" s="122"/>
    </row>
    <row r="557" spans="1:31" ht="19.5" customHeight="1" x14ac:dyDescent="0.25">
      <c r="A557" s="147">
        <f>A554+1</f>
        <v>355</v>
      </c>
      <c r="B557" s="5" t="s">
        <v>487</v>
      </c>
      <c r="C557" s="145">
        <f t="shared" ref="C557:C571" si="52">D557+K557+M557+O557+Q557+S557+U557+V557+W557+X557</f>
        <v>4762767.92</v>
      </c>
      <c r="D557" s="145"/>
      <c r="E557" s="145"/>
      <c r="F557" s="143"/>
      <c r="G557" s="143"/>
      <c r="H557" s="143"/>
      <c r="I557" s="143"/>
      <c r="J557" s="145"/>
      <c r="K557" s="145"/>
      <c r="L557" s="145"/>
      <c r="M557" s="143"/>
      <c r="N557" s="145"/>
      <c r="O557" s="145"/>
      <c r="P557" s="145">
        <v>2908.62</v>
      </c>
      <c r="Q557" s="145">
        <v>4762767.92</v>
      </c>
      <c r="R557" s="145"/>
      <c r="S557" s="145"/>
      <c r="T557" s="145"/>
      <c r="U557" s="145"/>
      <c r="V557" s="145"/>
      <c r="W557" s="143"/>
      <c r="X557" s="143"/>
      <c r="Y557" s="124"/>
      <c r="Z557" s="122"/>
      <c r="AA557" s="122"/>
      <c r="AB557" s="122"/>
    </row>
    <row r="558" spans="1:31" ht="19.5" customHeight="1" x14ac:dyDescent="0.25">
      <c r="A558" s="147">
        <f>A557+1</f>
        <v>356</v>
      </c>
      <c r="B558" s="148" t="s">
        <v>595</v>
      </c>
      <c r="C558" s="145">
        <f t="shared" si="52"/>
        <v>824973</v>
      </c>
      <c r="D558" s="145"/>
      <c r="E558" s="145"/>
      <c r="F558" s="143"/>
      <c r="G558" s="143"/>
      <c r="H558" s="143"/>
      <c r="I558" s="143"/>
      <c r="J558" s="145"/>
      <c r="K558" s="145"/>
      <c r="L558" s="145"/>
      <c r="M558" s="143"/>
      <c r="N558" s="145"/>
      <c r="O558" s="145"/>
      <c r="P558" s="145"/>
      <c r="Q558" s="145"/>
      <c r="R558" s="145"/>
      <c r="S558" s="145"/>
      <c r="T558" s="145"/>
      <c r="U558" s="145"/>
      <c r="V558" s="145"/>
      <c r="W558" s="143">
        <f>270879+554094</f>
        <v>824973</v>
      </c>
      <c r="X558" s="143"/>
      <c r="Y558" s="137"/>
      <c r="Z558" s="122"/>
      <c r="AA558" s="122"/>
      <c r="AB558" s="122"/>
    </row>
    <row r="559" spans="1:31" ht="19.5" customHeight="1" x14ac:dyDescent="0.25">
      <c r="A559" s="147">
        <f>A558+1</f>
        <v>357</v>
      </c>
      <c r="B559" s="148" t="s">
        <v>596</v>
      </c>
      <c r="C559" s="145">
        <f t="shared" si="52"/>
        <v>824907.65</v>
      </c>
      <c r="D559" s="145"/>
      <c r="E559" s="145"/>
      <c r="F559" s="143"/>
      <c r="G559" s="143"/>
      <c r="H559" s="143"/>
      <c r="I559" s="143"/>
      <c r="J559" s="145"/>
      <c r="K559" s="145"/>
      <c r="L559" s="145"/>
      <c r="M559" s="143"/>
      <c r="N559" s="145"/>
      <c r="O559" s="145"/>
      <c r="P559" s="145"/>
      <c r="Q559" s="145"/>
      <c r="R559" s="145"/>
      <c r="S559" s="145"/>
      <c r="T559" s="145"/>
      <c r="U559" s="145"/>
      <c r="V559" s="145"/>
      <c r="W559" s="143">
        <f>270878.62+554029.03</f>
        <v>824907.65</v>
      </c>
      <c r="X559" s="143"/>
      <c r="Y559" s="137"/>
      <c r="Z559" s="122"/>
      <c r="AA559" s="122"/>
      <c r="AB559" s="122"/>
    </row>
    <row r="560" spans="1:31" ht="19.5" customHeight="1" x14ac:dyDescent="0.25">
      <c r="A560" s="147">
        <f>A559+1</f>
        <v>358</v>
      </c>
      <c r="B560" s="5" t="s">
        <v>488</v>
      </c>
      <c r="C560" s="145">
        <f t="shared" si="52"/>
        <v>6129920.6399999997</v>
      </c>
      <c r="D560" s="145"/>
      <c r="E560" s="145"/>
      <c r="F560" s="143"/>
      <c r="G560" s="143"/>
      <c r="H560" s="143"/>
      <c r="I560" s="143"/>
      <c r="J560" s="145"/>
      <c r="K560" s="145"/>
      <c r="L560" s="145"/>
      <c r="M560" s="145"/>
      <c r="N560" s="145">
        <v>1058</v>
      </c>
      <c r="O560" s="145">
        <v>985101.76</v>
      </c>
      <c r="P560" s="145">
        <v>3438.72</v>
      </c>
      <c r="Q560" s="145">
        <v>5144818.88</v>
      </c>
      <c r="R560" s="145"/>
      <c r="S560" s="145"/>
      <c r="T560" s="145"/>
      <c r="U560" s="145"/>
      <c r="V560" s="145"/>
      <c r="W560" s="145"/>
      <c r="X560" s="145"/>
      <c r="Y560" s="124"/>
      <c r="Z560" s="122"/>
      <c r="AA560" s="122"/>
      <c r="AB560" s="122"/>
    </row>
    <row r="561" spans="1:31" ht="19.5" customHeight="1" x14ac:dyDescent="0.25">
      <c r="A561" s="147">
        <f t="shared" ref="A561:A572" si="53">A560+1</f>
        <v>359</v>
      </c>
      <c r="B561" s="5" t="s">
        <v>489</v>
      </c>
      <c r="C561" s="145">
        <f t="shared" si="52"/>
        <v>997730.12</v>
      </c>
      <c r="D561" s="145"/>
      <c r="E561" s="143"/>
      <c r="F561" s="143"/>
      <c r="G561" s="143"/>
      <c r="H561" s="143"/>
      <c r="I561" s="143"/>
      <c r="J561" s="145"/>
      <c r="K561" s="145"/>
      <c r="L561" s="143">
        <v>615.04999999999995</v>
      </c>
      <c r="M561" s="52">
        <v>997730.12</v>
      </c>
      <c r="N561" s="143"/>
      <c r="O561" s="145"/>
      <c r="P561" s="143"/>
      <c r="Q561" s="145"/>
      <c r="R561" s="145"/>
      <c r="S561" s="145"/>
      <c r="T561" s="145"/>
      <c r="U561" s="145"/>
      <c r="V561" s="145"/>
      <c r="W561" s="145"/>
      <c r="X561" s="145"/>
      <c r="Y561" s="124"/>
      <c r="Z561" s="122"/>
      <c r="AA561" s="121"/>
      <c r="AB561" s="122"/>
    </row>
    <row r="562" spans="1:31" ht="19.5" customHeight="1" x14ac:dyDescent="0.25">
      <c r="A562" s="147">
        <f t="shared" si="53"/>
        <v>360</v>
      </c>
      <c r="B562" s="5" t="s">
        <v>490</v>
      </c>
      <c r="C562" s="145">
        <f t="shared" si="52"/>
        <v>2460231.8199999998</v>
      </c>
      <c r="D562" s="145"/>
      <c r="E562" s="145"/>
      <c r="F562" s="143"/>
      <c r="G562" s="143"/>
      <c r="H562" s="143"/>
      <c r="I562" s="143"/>
      <c r="J562" s="145"/>
      <c r="K562" s="145"/>
      <c r="L562" s="145">
        <v>1226.4000000000001</v>
      </c>
      <c r="M562" s="145">
        <v>2460231.8199999998</v>
      </c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24"/>
      <c r="Z562" s="122"/>
      <c r="AA562" s="122"/>
      <c r="AB562" s="122"/>
    </row>
    <row r="563" spans="1:31" ht="19.5" customHeight="1" x14ac:dyDescent="0.25">
      <c r="A563" s="147">
        <f t="shared" si="53"/>
        <v>361</v>
      </c>
      <c r="B563" s="5" t="s">
        <v>491</v>
      </c>
      <c r="C563" s="145">
        <f t="shared" si="52"/>
        <v>8517021.1600000001</v>
      </c>
      <c r="D563" s="145">
        <f>E563+F563+G563+H563+I563</f>
        <v>4398537.87</v>
      </c>
      <c r="E563" s="143"/>
      <c r="F563" s="143">
        <v>4398537.87</v>
      </c>
      <c r="G563" s="143"/>
      <c r="H563" s="143"/>
      <c r="I563" s="143"/>
      <c r="J563" s="145"/>
      <c r="K563" s="145"/>
      <c r="L563" s="143"/>
      <c r="M563" s="145"/>
      <c r="N563" s="143">
        <v>749</v>
      </c>
      <c r="O563" s="145">
        <v>620485.89</v>
      </c>
      <c r="P563" s="143">
        <v>2412.98</v>
      </c>
      <c r="Q563" s="145">
        <v>3497997.4</v>
      </c>
      <c r="R563" s="145"/>
      <c r="S563" s="145"/>
      <c r="T563" s="145"/>
      <c r="U563" s="145"/>
      <c r="V563" s="145"/>
      <c r="W563" s="145"/>
      <c r="X563" s="145"/>
      <c r="Y563" s="124"/>
      <c r="Z563" s="122"/>
      <c r="AA563" s="121"/>
      <c r="AB563" s="122"/>
    </row>
    <row r="564" spans="1:31" ht="19.5" customHeight="1" x14ac:dyDescent="0.25">
      <c r="A564" s="147">
        <f t="shared" si="53"/>
        <v>362</v>
      </c>
      <c r="B564" s="5" t="s">
        <v>492</v>
      </c>
      <c r="C564" s="145">
        <f t="shared" si="52"/>
        <v>3855157.2800000003</v>
      </c>
      <c r="D564" s="145"/>
      <c r="E564" s="145"/>
      <c r="F564" s="143"/>
      <c r="G564" s="143"/>
      <c r="H564" s="143"/>
      <c r="I564" s="143"/>
      <c r="J564" s="145"/>
      <c r="K564" s="145"/>
      <c r="L564" s="145"/>
      <c r="M564" s="145"/>
      <c r="N564" s="145">
        <v>749</v>
      </c>
      <c r="O564" s="145">
        <v>598945.06000000006</v>
      </c>
      <c r="P564" s="145">
        <v>2456.3000000000002</v>
      </c>
      <c r="Q564" s="145">
        <v>3256212.22</v>
      </c>
      <c r="R564" s="145"/>
      <c r="S564" s="145"/>
      <c r="T564" s="145"/>
      <c r="U564" s="145"/>
      <c r="V564" s="145"/>
      <c r="W564" s="145"/>
      <c r="X564" s="145"/>
      <c r="Y564" s="124"/>
      <c r="Z564" s="122"/>
      <c r="AA564" s="122"/>
      <c r="AB564" s="122"/>
    </row>
    <row r="565" spans="1:31" ht="19.5" customHeight="1" x14ac:dyDescent="0.25">
      <c r="A565" s="147">
        <f t="shared" si="53"/>
        <v>363</v>
      </c>
      <c r="B565" s="5" t="s">
        <v>493</v>
      </c>
      <c r="C565" s="145">
        <f t="shared" si="52"/>
        <v>3502794.95</v>
      </c>
      <c r="D565" s="145"/>
      <c r="E565" s="145"/>
      <c r="F565" s="143"/>
      <c r="G565" s="143"/>
      <c r="H565" s="143"/>
      <c r="I565" s="143"/>
      <c r="J565" s="145"/>
      <c r="K565" s="145"/>
      <c r="L565" s="145"/>
      <c r="M565" s="145"/>
      <c r="N565" s="145">
        <v>749</v>
      </c>
      <c r="O565" s="145">
        <v>612526.48</v>
      </c>
      <c r="P565" s="145">
        <v>2437.6999999999998</v>
      </c>
      <c r="Q565" s="145">
        <v>2890268.47</v>
      </c>
      <c r="R565" s="145"/>
      <c r="S565" s="145"/>
      <c r="T565" s="145"/>
      <c r="U565" s="145"/>
      <c r="V565" s="145"/>
      <c r="W565" s="145"/>
      <c r="X565" s="145"/>
      <c r="Y565" s="124"/>
      <c r="Z565" s="122"/>
      <c r="AA565" s="122"/>
      <c r="AB565" s="122"/>
    </row>
    <row r="566" spans="1:31" ht="19.5" customHeight="1" x14ac:dyDescent="0.25">
      <c r="A566" s="147">
        <f t="shared" si="53"/>
        <v>364</v>
      </c>
      <c r="B566" s="5" t="s">
        <v>494</v>
      </c>
      <c r="C566" s="145">
        <f>D566+K566+M566+O566+Q566+S566+U566+V566+W566+X566</f>
        <v>358300</v>
      </c>
      <c r="D566" s="145"/>
      <c r="E566" s="143"/>
      <c r="F566" s="143"/>
      <c r="G566" s="143"/>
      <c r="H566" s="143"/>
      <c r="I566" s="143"/>
      <c r="J566" s="145"/>
      <c r="K566" s="145"/>
      <c r="L566" s="143"/>
      <c r="M566" s="145"/>
      <c r="N566" s="143"/>
      <c r="O566" s="143"/>
      <c r="P566" s="143"/>
      <c r="Q566" s="143"/>
      <c r="R566" s="145"/>
      <c r="S566" s="145"/>
      <c r="T566" s="145"/>
      <c r="U566" s="145"/>
      <c r="V566" s="145"/>
      <c r="W566" s="145">
        <v>358300</v>
      </c>
      <c r="X566" s="145"/>
      <c r="Y566" s="124"/>
      <c r="Z566" s="122"/>
      <c r="AA566" s="121"/>
      <c r="AB566" s="122"/>
    </row>
    <row r="567" spans="1:31" ht="19.5" customHeight="1" x14ac:dyDescent="0.25">
      <c r="A567" s="147">
        <f t="shared" si="53"/>
        <v>365</v>
      </c>
      <c r="B567" s="140" t="s">
        <v>575</v>
      </c>
      <c r="C567" s="145">
        <f>D567+K567+M567+O567+Q567+S567+U567+V567+W567+X567</f>
        <v>224930.12</v>
      </c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3">
        <v>224930.12</v>
      </c>
      <c r="X567" s="142"/>
      <c r="Y567" s="129"/>
      <c r="Z567" s="122"/>
      <c r="AA567" s="121"/>
      <c r="AB567" s="122"/>
    </row>
    <row r="568" spans="1:31" ht="19.5" customHeight="1" x14ac:dyDescent="0.25">
      <c r="A568" s="147">
        <f t="shared" si="53"/>
        <v>366</v>
      </c>
      <c r="B568" s="5" t="s">
        <v>495</v>
      </c>
      <c r="C568" s="145">
        <f t="shared" si="52"/>
        <v>2094105.88</v>
      </c>
      <c r="D568" s="145"/>
      <c r="E568" s="143"/>
      <c r="F568" s="143"/>
      <c r="G568" s="143"/>
      <c r="H568" s="143"/>
      <c r="I568" s="143"/>
      <c r="J568" s="145"/>
      <c r="K568" s="145"/>
      <c r="L568" s="143">
        <v>705</v>
      </c>
      <c r="M568" s="145">
        <v>2094105.88</v>
      </c>
      <c r="N568" s="143"/>
      <c r="O568" s="143"/>
      <c r="P568" s="143"/>
      <c r="Q568" s="143"/>
      <c r="R568" s="145"/>
      <c r="S568" s="145"/>
      <c r="T568" s="145"/>
      <c r="U568" s="145"/>
      <c r="V568" s="145"/>
      <c r="W568" s="145"/>
      <c r="X568" s="145"/>
      <c r="Y568" s="124"/>
      <c r="Z568" s="122"/>
      <c r="AA568" s="121"/>
      <c r="AB568" s="122"/>
    </row>
    <row r="569" spans="1:31" ht="19.5" customHeight="1" x14ac:dyDescent="0.25">
      <c r="A569" s="147">
        <f t="shared" si="53"/>
        <v>367</v>
      </c>
      <c r="B569" s="5" t="s">
        <v>496</v>
      </c>
      <c r="C569" s="145">
        <f t="shared" si="52"/>
        <v>2064281.12</v>
      </c>
      <c r="D569" s="145"/>
      <c r="E569" s="143"/>
      <c r="F569" s="143"/>
      <c r="G569" s="143"/>
      <c r="H569" s="143"/>
      <c r="I569" s="143"/>
      <c r="J569" s="145"/>
      <c r="K569" s="145"/>
      <c r="L569" s="145">
        <v>384</v>
      </c>
      <c r="M569" s="145">
        <v>2064281.12</v>
      </c>
      <c r="N569" s="143"/>
      <c r="O569" s="143"/>
      <c r="P569" s="143"/>
      <c r="Q569" s="143"/>
      <c r="R569" s="145"/>
      <c r="S569" s="145"/>
      <c r="T569" s="145"/>
      <c r="U569" s="145"/>
      <c r="V569" s="145"/>
      <c r="W569" s="145"/>
      <c r="X569" s="145"/>
      <c r="Y569" s="124"/>
      <c r="Z569" s="122"/>
      <c r="AA569" s="121"/>
      <c r="AB569" s="122"/>
    </row>
    <row r="570" spans="1:31" ht="19.5" customHeight="1" x14ac:dyDescent="0.25">
      <c r="A570" s="147">
        <f t="shared" si="53"/>
        <v>368</v>
      </c>
      <c r="B570" s="5" t="s">
        <v>497</v>
      </c>
      <c r="C570" s="145">
        <f t="shared" si="52"/>
        <v>1032837.66</v>
      </c>
      <c r="D570" s="145"/>
      <c r="E570" s="143"/>
      <c r="F570" s="143"/>
      <c r="G570" s="143"/>
      <c r="H570" s="143"/>
      <c r="I570" s="143"/>
      <c r="J570" s="145"/>
      <c r="K570" s="145"/>
      <c r="L570" s="145">
        <v>280</v>
      </c>
      <c r="M570" s="145">
        <v>1032837.66</v>
      </c>
      <c r="N570" s="143"/>
      <c r="O570" s="143"/>
      <c r="P570" s="143"/>
      <c r="Q570" s="143"/>
      <c r="R570" s="145"/>
      <c r="S570" s="145"/>
      <c r="T570" s="145"/>
      <c r="U570" s="145"/>
      <c r="V570" s="145"/>
      <c r="W570" s="145"/>
      <c r="X570" s="145"/>
      <c r="Y570" s="124"/>
      <c r="Z570" s="122"/>
      <c r="AA570" s="121"/>
      <c r="AB570" s="122"/>
    </row>
    <row r="571" spans="1:31" ht="19.5" customHeight="1" x14ac:dyDescent="0.25">
      <c r="A571" s="147">
        <f t="shared" si="53"/>
        <v>369</v>
      </c>
      <c r="B571" s="5" t="s">
        <v>498</v>
      </c>
      <c r="C571" s="145">
        <f t="shared" si="52"/>
        <v>3118758.69</v>
      </c>
      <c r="D571" s="145"/>
      <c r="E571" s="143"/>
      <c r="F571" s="143"/>
      <c r="G571" s="143"/>
      <c r="H571" s="143"/>
      <c r="I571" s="143"/>
      <c r="J571" s="145"/>
      <c r="K571" s="145"/>
      <c r="L571" s="143"/>
      <c r="M571" s="143"/>
      <c r="N571" s="143"/>
      <c r="O571" s="143"/>
      <c r="P571" s="143">
        <v>1620</v>
      </c>
      <c r="Q571" s="145">
        <v>3118758.69</v>
      </c>
      <c r="R571" s="145"/>
      <c r="S571" s="145"/>
      <c r="T571" s="145"/>
      <c r="U571" s="145"/>
      <c r="V571" s="145"/>
      <c r="W571" s="145"/>
      <c r="X571" s="145"/>
      <c r="Y571" s="124"/>
      <c r="Z571" s="122"/>
      <c r="AA571" s="122"/>
      <c r="AB571" s="122"/>
    </row>
    <row r="572" spans="1:31" ht="19.5" customHeight="1" x14ac:dyDescent="0.25">
      <c r="A572" s="147">
        <f t="shared" si="53"/>
        <v>370</v>
      </c>
      <c r="B572" s="5" t="s">
        <v>499</v>
      </c>
      <c r="C572" s="145">
        <f>D572+K572+M572+O572+Q572+S572+U572+V572+W572+X572</f>
        <v>5765628.2000000002</v>
      </c>
      <c r="D572" s="145"/>
      <c r="E572" s="143"/>
      <c r="F572" s="143"/>
      <c r="G572" s="143"/>
      <c r="H572" s="143"/>
      <c r="I572" s="143"/>
      <c r="J572" s="145"/>
      <c r="K572" s="145"/>
      <c r="L572" s="143"/>
      <c r="M572" s="143"/>
      <c r="N572" s="143"/>
      <c r="O572" s="143"/>
      <c r="P572" s="143">
        <v>1884</v>
      </c>
      <c r="Q572" s="145">
        <v>5765628.2000000002</v>
      </c>
      <c r="R572" s="145"/>
      <c r="S572" s="145"/>
      <c r="T572" s="145"/>
      <c r="U572" s="145"/>
      <c r="V572" s="145"/>
      <c r="W572" s="145"/>
      <c r="X572" s="145"/>
      <c r="Y572" s="124"/>
      <c r="Z572" s="122"/>
      <c r="AA572" s="122"/>
      <c r="AB572" s="122"/>
    </row>
    <row r="573" spans="1:31" ht="19.5" customHeight="1" x14ac:dyDescent="0.25">
      <c r="A573" s="203" t="s">
        <v>18</v>
      </c>
      <c r="B573" s="203"/>
      <c r="C573" s="145">
        <f>SUM(C557:C572)</f>
        <v>46534346.210000001</v>
      </c>
      <c r="D573" s="145">
        <f>SUM(D557:D572)</f>
        <v>4398537.87</v>
      </c>
      <c r="E573" s="145"/>
      <c r="F573" s="145">
        <f>SUM(F557:F572)</f>
        <v>4398537.87</v>
      </c>
      <c r="G573" s="145"/>
      <c r="H573" s="145"/>
      <c r="I573" s="145"/>
      <c r="J573" s="145"/>
      <c r="K573" s="145"/>
      <c r="L573" s="145">
        <f t="shared" ref="L573:Q573" si="54">SUM(L557:L572)</f>
        <v>3210.45</v>
      </c>
      <c r="M573" s="145">
        <f t="shared" si="54"/>
        <v>8649186.5999999996</v>
      </c>
      <c r="N573" s="145">
        <f t="shared" si="54"/>
        <v>3305</v>
      </c>
      <c r="O573" s="145">
        <f t="shared" si="54"/>
        <v>2817059.19</v>
      </c>
      <c r="P573" s="145">
        <f t="shared" si="54"/>
        <v>17158.32</v>
      </c>
      <c r="Q573" s="145">
        <f t="shared" si="54"/>
        <v>28436451.780000001</v>
      </c>
      <c r="R573" s="145"/>
      <c r="S573" s="145"/>
      <c r="T573" s="145"/>
      <c r="U573" s="145"/>
      <c r="V573" s="145"/>
      <c r="W573" s="145">
        <f>SUM(W557:W572)</f>
        <v>2233110.77</v>
      </c>
      <c r="X573" s="145">
        <f>SUM(X557:X572)</f>
        <v>0</v>
      </c>
      <c r="Y573" s="124"/>
      <c r="Z573" s="122"/>
      <c r="AA573" s="122"/>
      <c r="AB573" s="122"/>
      <c r="AE573" s="123"/>
    </row>
    <row r="574" spans="1:31" ht="20.25" customHeight="1" x14ac:dyDescent="0.25">
      <c r="A574" s="188" t="s">
        <v>171</v>
      </c>
      <c r="B574" s="188"/>
      <c r="C574" s="188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24"/>
      <c r="Z574" s="122"/>
      <c r="AA574" s="121"/>
      <c r="AB574" s="122"/>
    </row>
    <row r="575" spans="1:31" ht="20.25" customHeight="1" x14ac:dyDescent="0.25">
      <c r="A575" s="147">
        <f>A572+1</f>
        <v>371</v>
      </c>
      <c r="B575" s="140" t="s">
        <v>578</v>
      </c>
      <c r="C575" s="145">
        <f t="shared" ref="C575:C583" si="55">D575+K575+M575+O575+Q575+S575+U575+V575+W575+X575</f>
        <v>919065.73</v>
      </c>
      <c r="D575" s="145">
        <f>E575+F575+G575+H575+I575</f>
        <v>919065.73</v>
      </c>
      <c r="E575" s="143">
        <v>919065.73</v>
      </c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24"/>
      <c r="Z575" s="122"/>
      <c r="AA575" s="121"/>
      <c r="AB575" s="122"/>
    </row>
    <row r="576" spans="1:31" ht="20.25" customHeight="1" x14ac:dyDescent="0.25">
      <c r="A576" s="147">
        <f>A575+1</f>
        <v>372</v>
      </c>
      <c r="B576" s="5" t="s">
        <v>500</v>
      </c>
      <c r="C576" s="145">
        <f t="shared" si="55"/>
        <v>4323694.6400000006</v>
      </c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>
        <v>823</v>
      </c>
      <c r="Q576" s="145">
        <v>1279086.96</v>
      </c>
      <c r="R576" s="145"/>
      <c r="S576" s="145"/>
      <c r="T576" s="145">
        <v>749.7</v>
      </c>
      <c r="U576" s="145">
        <v>3044607.68</v>
      </c>
      <c r="V576" s="145"/>
      <c r="W576" s="145"/>
      <c r="X576" s="145"/>
      <c r="Y576" s="124"/>
      <c r="Z576" s="122"/>
      <c r="AA576" s="122"/>
      <c r="AB576" s="122"/>
    </row>
    <row r="577" spans="1:31" ht="20.25" customHeight="1" x14ac:dyDescent="0.25">
      <c r="A577" s="147">
        <f t="shared" ref="A577:A583" si="56">A576+1</f>
        <v>373</v>
      </c>
      <c r="B577" s="140" t="s">
        <v>579</v>
      </c>
      <c r="C577" s="145">
        <f t="shared" si="55"/>
        <v>294582.96000000002</v>
      </c>
      <c r="D577" s="145">
        <f>E577+F577+G577+H577+I577</f>
        <v>294582.96000000002</v>
      </c>
      <c r="E577" s="143">
        <v>294582.96000000002</v>
      </c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24"/>
      <c r="Z577" s="122"/>
      <c r="AA577" s="121"/>
      <c r="AB577" s="122"/>
    </row>
    <row r="578" spans="1:31" ht="20.25" customHeight="1" x14ac:dyDescent="0.25">
      <c r="A578" s="147">
        <f t="shared" si="56"/>
        <v>374</v>
      </c>
      <c r="B578" s="140" t="s">
        <v>580</v>
      </c>
      <c r="C578" s="145">
        <f t="shared" si="55"/>
        <v>276781.06</v>
      </c>
      <c r="D578" s="145">
        <f>E578+F578+G578+H578+I578</f>
        <v>276781.06</v>
      </c>
      <c r="E578" s="143">
        <v>276781.06</v>
      </c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24"/>
      <c r="Z578" s="122"/>
      <c r="AA578" s="121"/>
      <c r="AB578" s="122"/>
    </row>
    <row r="579" spans="1:31" ht="20.25" customHeight="1" x14ac:dyDescent="0.25">
      <c r="A579" s="147">
        <f t="shared" si="56"/>
        <v>375</v>
      </c>
      <c r="B579" s="140" t="s">
        <v>576</v>
      </c>
      <c r="C579" s="145">
        <f t="shared" si="55"/>
        <v>2241680</v>
      </c>
      <c r="D579" s="143"/>
      <c r="E579" s="143"/>
      <c r="F579" s="143"/>
      <c r="G579" s="143"/>
      <c r="H579" s="143"/>
      <c r="I579" s="143"/>
      <c r="J579" s="143"/>
      <c r="K579" s="143"/>
      <c r="L579" s="143">
        <v>670</v>
      </c>
      <c r="M579" s="143">
        <v>2241680</v>
      </c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24"/>
      <c r="Z579" s="122"/>
      <c r="AA579" s="121"/>
      <c r="AB579" s="122"/>
    </row>
    <row r="580" spans="1:31" ht="20.25" customHeight="1" x14ac:dyDescent="0.25">
      <c r="A580" s="147">
        <f t="shared" si="56"/>
        <v>376</v>
      </c>
      <c r="B580" s="140" t="s">
        <v>577</v>
      </c>
      <c r="C580" s="145">
        <f t="shared" si="55"/>
        <v>1429775</v>
      </c>
      <c r="D580" s="143"/>
      <c r="E580" s="143"/>
      <c r="F580" s="143"/>
      <c r="G580" s="143"/>
      <c r="H580" s="143"/>
      <c r="I580" s="143"/>
      <c r="J580" s="143"/>
      <c r="K580" s="143"/>
      <c r="L580" s="143">
        <v>338</v>
      </c>
      <c r="M580" s="143">
        <v>1429775</v>
      </c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24"/>
      <c r="Z580" s="122"/>
      <c r="AA580" s="121"/>
      <c r="AB580" s="122"/>
    </row>
    <row r="581" spans="1:31" ht="20.25" customHeight="1" x14ac:dyDescent="0.25">
      <c r="A581" s="147">
        <f t="shared" si="56"/>
        <v>377</v>
      </c>
      <c r="B581" s="5" t="s">
        <v>172</v>
      </c>
      <c r="C581" s="145">
        <f t="shared" si="55"/>
        <v>2758294</v>
      </c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3">
        <v>647</v>
      </c>
      <c r="U581" s="143">
        <v>2758294</v>
      </c>
      <c r="V581" s="145"/>
      <c r="W581" s="145"/>
      <c r="X581" s="145"/>
      <c r="Y581" s="124"/>
      <c r="Z581" s="122"/>
      <c r="AA581" s="121"/>
      <c r="AB581" s="122"/>
    </row>
    <row r="582" spans="1:31" ht="20.25" customHeight="1" x14ac:dyDescent="0.25">
      <c r="A582" s="147">
        <f t="shared" si="56"/>
        <v>378</v>
      </c>
      <c r="B582" s="5" t="s">
        <v>173</v>
      </c>
      <c r="C582" s="145">
        <f t="shared" si="55"/>
        <v>1161824</v>
      </c>
      <c r="D582" s="145"/>
      <c r="E582" s="145"/>
      <c r="F582" s="145"/>
      <c r="G582" s="145"/>
      <c r="H582" s="145"/>
      <c r="I582" s="145"/>
      <c r="J582" s="145"/>
      <c r="K582" s="145"/>
      <c r="L582" s="143">
        <v>283</v>
      </c>
      <c r="M582" s="143">
        <v>1161824</v>
      </c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24"/>
      <c r="Z582" s="122"/>
      <c r="AA582" s="121"/>
      <c r="AB582" s="122"/>
    </row>
    <row r="583" spans="1:31" ht="20.25" customHeight="1" x14ac:dyDescent="0.25">
      <c r="A583" s="147">
        <f t="shared" si="56"/>
        <v>379</v>
      </c>
      <c r="B583" s="5" t="s">
        <v>501</v>
      </c>
      <c r="C583" s="145">
        <f t="shared" si="55"/>
        <v>1090152</v>
      </c>
      <c r="D583" s="145"/>
      <c r="E583" s="145"/>
      <c r="F583" s="145"/>
      <c r="G583" s="145"/>
      <c r="H583" s="145"/>
      <c r="I583" s="145"/>
      <c r="J583" s="145"/>
      <c r="K583" s="145"/>
      <c r="L583" s="143">
        <v>290</v>
      </c>
      <c r="M583" s="143">
        <v>1090152</v>
      </c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24"/>
      <c r="Z583" s="122"/>
      <c r="AA583" s="121"/>
      <c r="AB583" s="122"/>
    </row>
    <row r="584" spans="1:31" ht="20.25" customHeight="1" x14ac:dyDescent="0.25">
      <c r="A584" s="203" t="s">
        <v>18</v>
      </c>
      <c r="B584" s="203"/>
      <c r="C584" s="145">
        <f>SUM(C575:C583)</f>
        <v>14495849.390000001</v>
      </c>
      <c r="D584" s="145">
        <f>SUM(D575:D583)</f>
        <v>1490429.75</v>
      </c>
      <c r="E584" s="145">
        <f>SUM(E575:E583)</f>
        <v>1490429.75</v>
      </c>
      <c r="F584" s="145"/>
      <c r="G584" s="145"/>
      <c r="H584" s="145"/>
      <c r="I584" s="145"/>
      <c r="J584" s="145"/>
      <c r="K584" s="145"/>
      <c r="L584" s="145">
        <f>SUM(L575:L583)</f>
        <v>1581</v>
      </c>
      <c r="M584" s="145">
        <f>SUM(M575:M583)</f>
        <v>5923431</v>
      </c>
      <c r="N584" s="145"/>
      <c r="O584" s="145"/>
      <c r="P584" s="145">
        <f>SUM(P575:P583)</f>
        <v>823</v>
      </c>
      <c r="Q584" s="145">
        <f>SUM(Q575:Q583)</f>
        <v>1279086.96</v>
      </c>
      <c r="R584" s="145"/>
      <c r="S584" s="145"/>
      <c r="T584" s="145">
        <f>SUM(T575:T583)</f>
        <v>1396.7</v>
      </c>
      <c r="U584" s="145">
        <f>SUM(U575:U583)</f>
        <v>5802901.6799999997</v>
      </c>
      <c r="V584" s="145"/>
      <c r="W584" s="145"/>
      <c r="X584" s="145"/>
      <c r="Y584" s="124"/>
      <c r="Z584" s="122"/>
      <c r="AA584" s="122"/>
      <c r="AB584" s="122"/>
      <c r="AE584" s="123"/>
    </row>
    <row r="585" spans="1:31" s="134" customFormat="1" ht="20.25" customHeight="1" x14ac:dyDescent="0.25">
      <c r="A585" s="188" t="s">
        <v>174</v>
      </c>
      <c r="B585" s="188"/>
      <c r="C585" s="149">
        <f>C549+C552+C555+C573+C584</f>
        <v>72449013.849999994</v>
      </c>
      <c r="D585" s="149">
        <f>D549+D552+D555+D573+D584</f>
        <v>5888967.6200000001</v>
      </c>
      <c r="E585" s="149">
        <f>E549+E552+E555+E573+E584</f>
        <v>1490429.75</v>
      </c>
      <c r="F585" s="149">
        <f>F549+F552+F555+F573+F584</f>
        <v>4398537.87</v>
      </c>
      <c r="G585" s="149"/>
      <c r="H585" s="149">
        <f>H549+H552+H555+H573+H584</f>
        <v>0</v>
      </c>
      <c r="I585" s="149"/>
      <c r="J585" s="149"/>
      <c r="K585" s="149"/>
      <c r="L585" s="149">
        <f t="shared" ref="L585:Q585" si="57">L549+L552+L555+L573+L584</f>
        <v>6707.0199999999995</v>
      </c>
      <c r="M585" s="149">
        <f t="shared" si="57"/>
        <v>21759215.969999999</v>
      </c>
      <c r="N585" s="149">
        <f t="shared" si="57"/>
        <v>3305</v>
      </c>
      <c r="O585" s="149">
        <f t="shared" si="57"/>
        <v>2817059.19</v>
      </c>
      <c r="P585" s="149">
        <f t="shared" si="57"/>
        <v>18791.32</v>
      </c>
      <c r="Q585" s="149">
        <f t="shared" si="57"/>
        <v>31176488.880000003</v>
      </c>
      <c r="R585" s="149"/>
      <c r="S585" s="149"/>
      <c r="T585" s="149">
        <f>T549+T552+T555+T573+T584</f>
        <v>2026.7</v>
      </c>
      <c r="U585" s="149">
        <f>U549+U552+U555+U573+U584</f>
        <v>8574171.4199999999</v>
      </c>
      <c r="V585" s="149"/>
      <c r="W585" s="149">
        <f>W549+W552+W555+W573+W584</f>
        <v>2233110.77</v>
      </c>
      <c r="X585" s="149">
        <f>X549+X552+X555+X573+X584</f>
        <v>0</v>
      </c>
      <c r="Y585" s="124"/>
      <c r="Z585" s="122"/>
      <c r="AA585" s="122"/>
      <c r="AB585" s="122"/>
      <c r="AC585" s="123"/>
    </row>
    <row r="586" spans="1:31" ht="18" customHeight="1" x14ac:dyDescent="0.25">
      <c r="A586" s="204" t="s">
        <v>601</v>
      </c>
      <c r="B586" s="204"/>
      <c r="C586" s="204"/>
      <c r="D586" s="204"/>
      <c r="E586" s="204"/>
      <c r="F586" s="204"/>
      <c r="G586" s="204"/>
      <c r="H586" s="204"/>
      <c r="I586" s="204"/>
      <c r="J586" s="204"/>
      <c r="K586" s="204"/>
      <c r="L586" s="204"/>
      <c r="M586" s="204"/>
      <c r="N586" s="204"/>
      <c r="O586" s="204"/>
      <c r="P586" s="204"/>
      <c r="Q586" s="204"/>
      <c r="R586" s="204"/>
      <c r="S586" s="204"/>
      <c r="T586" s="204"/>
      <c r="U586" s="204"/>
      <c r="V586" s="204"/>
      <c r="W586" s="204"/>
      <c r="X586" s="204"/>
      <c r="Y586" s="124"/>
      <c r="Z586" s="122"/>
      <c r="AB586" s="122"/>
    </row>
    <row r="587" spans="1:31" ht="18" customHeight="1" x14ac:dyDescent="0.25">
      <c r="A587" s="225" t="s">
        <v>593</v>
      </c>
      <c r="B587" s="225"/>
      <c r="C587" s="225"/>
      <c r="D587" s="225"/>
      <c r="E587" s="225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49"/>
      <c r="U587" s="149"/>
      <c r="V587" s="149"/>
      <c r="W587" s="149"/>
      <c r="X587" s="149"/>
      <c r="Y587" s="124"/>
      <c r="Z587" s="122"/>
      <c r="AB587" s="122"/>
    </row>
    <row r="588" spans="1:31" ht="18" customHeight="1" x14ac:dyDescent="0.25">
      <c r="A588" s="147">
        <f>A583+1</f>
        <v>380</v>
      </c>
      <c r="B588" s="92" t="s">
        <v>594</v>
      </c>
      <c r="C588" s="145">
        <f>D588+K588+M588+O588+Q588+S588+U588+V588+W588+X588</f>
        <v>530618.80000000005</v>
      </c>
      <c r="D588" s="149"/>
      <c r="E588" s="149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49"/>
      <c r="U588" s="149"/>
      <c r="V588" s="149"/>
      <c r="W588" s="145">
        <v>530618.80000000005</v>
      </c>
      <c r="X588" s="149"/>
      <c r="Y588" s="124"/>
      <c r="Z588" s="122"/>
      <c r="AB588" s="122"/>
    </row>
    <row r="589" spans="1:31" ht="18" customHeight="1" x14ac:dyDescent="0.25">
      <c r="A589" s="226" t="s">
        <v>18</v>
      </c>
      <c r="B589" s="226"/>
      <c r="C589" s="145">
        <f>SUM(C588)</f>
        <v>530618.80000000005</v>
      </c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49"/>
      <c r="U589" s="149"/>
      <c r="V589" s="149"/>
      <c r="W589" s="145">
        <f>SUM(W588)</f>
        <v>530618.80000000005</v>
      </c>
      <c r="X589" s="149"/>
      <c r="Y589" s="124"/>
      <c r="Z589" s="122"/>
      <c r="AB589" s="122"/>
    </row>
    <row r="590" spans="1:31" ht="18" customHeight="1" x14ac:dyDescent="0.25">
      <c r="A590" s="188" t="s">
        <v>87</v>
      </c>
      <c r="B590" s="188"/>
      <c r="C590" s="188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24"/>
      <c r="Z590" s="122"/>
      <c r="AB590" s="122"/>
    </row>
    <row r="591" spans="1:31" ht="18" customHeight="1" x14ac:dyDescent="0.2">
      <c r="A591" s="147">
        <f>A588+1</f>
        <v>381</v>
      </c>
      <c r="B591" s="94" t="s">
        <v>106</v>
      </c>
      <c r="C591" s="145">
        <f>D591+K591+M591+O591+Q591+S591+U591+V591+W591+X591</f>
        <v>2793634.31</v>
      </c>
      <c r="D591" s="145">
        <f>E591+F591+G591+H591+I591</f>
        <v>2283826.98</v>
      </c>
      <c r="E591" s="143">
        <v>2283826.98</v>
      </c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>
        <v>509807.33</v>
      </c>
      <c r="X591" s="145"/>
      <c r="Y591" s="124"/>
      <c r="Z591" s="122"/>
      <c r="AB591" s="122"/>
    </row>
    <row r="592" spans="1:31" ht="18" customHeight="1" x14ac:dyDescent="0.2">
      <c r="A592" s="147">
        <f>A591+1</f>
        <v>382</v>
      </c>
      <c r="B592" s="94" t="s">
        <v>107</v>
      </c>
      <c r="C592" s="145">
        <f>D592+K592+M592+O592+Q592+S592+U592+V592+W592+X592</f>
        <v>509807.33</v>
      </c>
      <c r="D592" s="145"/>
      <c r="E592" s="143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>
        <v>509807.33</v>
      </c>
      <c r="X592" s="145"/>
      <c r="Y592" s="124"/>
      <c r="Z592" s="122"/>
      <c r="AB592" s="122"/>
    </row>
    <row r="593" spans="1:31" ht="18" customHeight="1" x14ac:dyDescent="0.2">
      <c r="A593" s="147">
        <f>A592+1</f>
        <v>383</v>
      </c>
      <c r="B593" s="95" t="s">
        <v>502</v>
      </c>
      <c r="C593" s="145">
        <f>D593+K593+M593+O593+Q593+S593+U593+V593+W593+X593</f>
        <v>5077617.84</v>
      </c>
      <c r="D593" s="145">
        <f>E593+F593+G593+H593+I593</f>
        <v>4635285.37</v>
      </c>
      <c r="E593" s="143">
        <v>4635285.37</v>
      </c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>
        <v>442332.47</v>
      </c>
      <c r="X593" s="145"/>
      <c r="Y593" s="124"/>
      <c r="Z593" s="122"/>
      <c r="AB593" s="122"/>
    </row>
    <row r="594" spans="1:31" ht="18" customHeight="1" x14ac:dyDescent="0.2">
      <c r="A594" s="147">
        <f>A593+1</f>
        <v>384</v>
      </c>
      <c r="B594" s="95" t="s">
        <v>503</v>
      </c>
      <c r="C594" s="145">
        <f>D594+K594+M594+O594+Q594+S594+U594+V594+W594+X594</f>
        <v>1741216.79</v>
      </c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>
        <f>1196677.38+544539.41</f>
        <v>1741216.79</v>
      </c>
      <c r="X594" s="145"/>
      <c r="Y594" s="124"/>
      <c r="Z594" s="122"/>
      <c r="AB594" s="122"/>
    </row>
    <row r="595" spans="1:31" ht="18" customHeight="1" x14ac:dyDescent="0.25">
      <c r="A595" s="203" t="s">
        <v>18</v>
      </c>
      <c r="B595" s="203"/>
      <c r="C595" s="145">
        <f>SUM(C591:C594)</f>
        <v>10122276.27</v>
      </c>
      <c r="D595" s="145">
        <f>SUM(D591:D594)</f>
        <v>6919112.3499999996</v>
      </c>
      <c r="E595" s="145">
        <f>SUM(E591:E594)</f>
        <v>6919112.3499999996</v>
      </c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>
        <f>SUM(W591:W594)</f>
        <v>3203163.92</v>
      </c>
      <c r="X595" s="145"/>
      <c r="Y595" s="124"/>
      <c r="Z595" s="122"/>
      <c r="AB595" s="122"/>
      <c r="AE595" s="123"/>
    </row>
    <row r="596" spans="1:31" ht="18" customHeight="1" x14ac:dyDescent="0.25">
      <c r="A596" s="188" t="s">
        <v>108</v>
      </c>
      <c r="B596" s="188"/>
      <c r="C596" s="188"/>
      <c r="D596" s="175"/>
      <c r="E596" s="175"/>
      <c r="F596" s="175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24"/>
      <c r="Z596" s="122"/>
      <c r="AB596" s="122"/>
    </row>
    <row r="597" spans="1:31" ht="18" customHeight="1" x14ac:dyDescent="0.25">
      <c r="A597" s="144">
        <f>A594+1</f>
        <v>385</v>
      </c>
      <c r="B597" s="5" t="s">
        <v>504</v>
      </c>
      <c r="C597" s="145">
        <f t="shared" ref="C597:C602" si="58">D597+K597+M597+O597+Q597+S597+U597+V597+W597+X597</f>
        <v>11405700.15</v>
      </c>
      <c r="D597" s="145"/>
      <c r="E597" s="143"/>
      <c r="F597" s="143"/>
      <c r="G597" s="143"/>
      <c r="H597" s="143"/>
      <c r="I597" s="143"/>
      <c r="J597" s="144">
        <v>5</v>
      </c>
      <c r="K597" s="143">
        <v>11405700.15</v>
      </c>
      <c r="L597" s="143"/>
      <c r="M597" s="143"/>
      <c r="N597" s="145"/>
      <c r="O597" s="145"/>
      <c r="P597" s="143"/>
      <c r="Q597" s="143"/>
      <c r="R597" s="143"/>
      <c r="S597" s="143"/>
      <c r="T597" s="145"/>
      <c r="U597" s="145"/>
      <c r="V597" s="145"/>
      <c r="W597" s="145"/>
      <c r="X597" s="145"/>
      <c r="Y597" s="124"/>
      <c r="Z597" s="122"/>
      <c r="AB597" s="122"/>
    </row>
    <row r="598" spans="1:31" ht="18" customHeight="1" x14ac:dyDescent="0.25">
      <c r="A598" s="144">
        <f>A597+1</f>
        <v>386</v>
      </c>
      <c r="B598" s="5" t="s">
        <v>505</v>
      </c>
      <c r="C598" s="145">
        <f t="shared" si="58"/>
        <v>3115626.92</v>
      </c>
      <c r="D598" s="145"/>
      <c r="E598" s="143"/>
      <c r="F598" s="143"/>
      <c r="G598" s="143"/>
      <c r="H598" s="143"/>
      <c r="I598" s="143"/>
      <c r="J598" s="144"/>
      <c r="K598" s="143"/>
      <c r="L598" s="143">
        <v>448</v>
      </c>
      <c r="M598" s="145">
        <v>1890377.07</v>
      </c>
      <c r="N598" s="145"/>
      <c r="O598" s="145"/>
      <c r="P598" s="143">
        <v>464</v>
      </c>
      <c r="Q598" s="145">
        <v>937218.82</v>
      </c>
      <c r="R598" s="143"/>
      <c r="S598" s="145"/>
      <c r="T598" s="145"/>
      <c r="U598" s="145"/>
      <c r="V598" s="145"/>
      <c r="W598" s="145">
        <v>288031.03000000003</v>
      </c>
      <c r="X598" s="145"/>
      <c r="Y598" s="124"/>
      <c r="Z598" s="122"/>
      <c r="AA598" s="122"/>
      <c r="AB598" s="122"/>
    </row>
    <row r="599" spans="1:31" ht="18" customHeight="1" x14ac:dyDescent="0.25">
      <c r="A599" s="144">
        <f>A598+1</f>
        <v>387</v>
      </c>
      <c r="B599" s="5" t="s">
        <v>506</v>
      </c>
      <c r="C599" s="145">
        <f t="shared" si="58"/>
        <v>2018986.3699999999</v>
      </c>
      <c r="D599" s="145"/>
      <c r="E599" s="143"/>
      <c r="F599" s="143"/>
      <c r="G599" s="143"/>
      <c r="H599" s="143"/>
      <c r="I599" s="143"/>
      <c r="J599" s="144"/>
      <c r="K599" s="143"/>
      <c r="L599" s="143">
        <v>416</v>
      </c>
      <c r="M599" s="145">
        <v>657088.31999999995</v>
      </c>
      <c r="N599" s="145"/>
      <c r="O599" s="145"/>
      <c r="P599" s="143">
        <v>586</v>
      </c>
      <c r="Q599" s="145">
        <v>1043792.81</v>
      </c>
      <c r="R599" s="143"/>
      <c r="S599" s="145"/>
      <c r="T599" s="145"/>
      <c r="U599" s="145"/>
      <c r="V599" s="145"/>
      <c r="W599" s="145">
        <f>164078.41+154026.83</f>
        <v>318105.24</v>
      </c>
      <c r="X599" s="145"/>
      <c r="Y599" s="124"/>
      <c r="Z599" s="122"/>
      <c r="AA599" s="122"/>
      <c r="AB599" s="122"/>
    </row>
    <row r="600" spans="1:31" ht="18" customHeight="1" x14ac:dyDescent="0.25">
      <c r="A600" s="144">
        <f>A599+1</f>
        <v>388</v>
      </c>
      <c r="B600" s="5" t="s">
        <v>507</v>
      </c>
      <c r="C600" s="145">
        <f t="shared" si="58"/>
        <v>1987051.3699999999</v>
      </c>
      <c r="D600" s="145"/>
      <c r="E600" s="143"/>
      <c r="F600" s="143"/>
      <c r="G600" s="143"/>
      <c r="H600" s="143"/>
      <c r="I600" s="143"/>
      <c r="J600" s="144"/>
      <c r="K600" s="143"/>
      <c r="L600" s="143">
        <v>416</v>
      </c>
      <c r="M600" s="145">
        <v>625153.31999999995</v>
      </c>
      <c r="N600" s="145"/>
      <c r="O600" s="145"/>
      <c r="P600" s="143">
        <v>586</v>
      </c>
      <c r="Q600" s="145">
        <v>1043792.81</v>
      </c>
      <c r="R600" s="143"/>
      <c r="S600" s="145"/>
      <c r="T600" s="145"/>
      <c r="U600" s="145"/>
      <c r="V600" s="145"/>
      <c r="W600" s="145">
        <f>154026.83+164078.41</f>
        <v>318105.24</v>
      </c>
      <c r="X600" s="145"/>
      <c r="Y600" s="124"/>
      <c r="Z600" s="122"/>
      <c r="AA600" s="122"/>
      <c r="AB600" s="122"/>
    </row>
    <row r="601" spans="1:31" ht="18" customHeight="1" x14ac:dyDescent="0.25">
      <c r="A601" s="144">
        <f>A600+1</f>
        <v>389</v>
      </c>
      <c r="B601" s="5" t="s">
        <v>508</v>
      </c>
      <c r="C601" s="145">
        <f t="shared" si="58"/>
        <v>1987051.3699999999</v>
      </c>
      <c r="D601" s="145"/>
      <c r="E601" s="143"/>
      <c r="F601" s="143"/>
      <c r="G601" s="143"/>
      <c r="H601" s="143"/>
      <c r="I601" s="143"/>
      <c r="J601" s="144"/>
      <c r="K601" s="143"/>
      <c r="L601" s="143">
        <v>416</v>
      </c>
      <c r="M601" s="145">
        <v>625153.31999999995</v>
      </c>
      <c r="N601" s="145"/>
      <c r="O601" s="145"/>
      <c r="P601" s="143">
        <v>586</v>
      </c>
      <c r="Q601" s="145">
        <v>1043792.81</v>
      </c>
      <c r="R601" s="143"/>
      <c r="S601" s="145"/>
      <c r="T601" s="145"/>
      <c r="U601" s="145"/>
      <c r="V601" s="145"/>
      <c r="W601" s="145">
        <f>154026.83+164078.41</f>
        <v>318105.24</v>
      </c>
      <c r="X601" s="145"/>
      <c r="Y601" s="124"/>
      <c r="Z601" s="122"/>
      <c r="AA601" s="122"/>
      <c r="AB601" s="122"/>
    </row>
    <row r="602" spans="1:31" ht="18" customHeight="1" x14ac:dyDescent="0.25">
      <c r="A602" s="144">
        <f>A601+1</f>
        <v>390</v>
      </c>
      <c r="B602" s="5" t="s">
        <v>509</v>
      </c>
      <c r="C602" s="145">
        <f t="shared" si="58"/>
        <v>1987051.3699999999</v>
      </c>
      <c r="D602" s="145"/>
      <c r="E602" s="143"/>
      <c r="F602" s="143"/>
      <c r="G602" s="143"/>
      <c r="H602" s="143"/>
      <c r="I602" s="143"/>
      <c r="J602" s="144"/>
      <c r="K602" s="143"/>
      <c r="L602" s="143">
        <v>416</v>
      </c>
      <c r="M602" s="145">
        <v>625153.31999999995</v>
      </c>
      <c r="N602" s="145"/>
      <c r="O602" s="145"/>
      <c r="P602" s="143">
        <v>586</v>
      </c>
      <c r="Q602" s="145">
        <v>1043792.81</v>
      </c>
      <c r="R602" s="143"/>
      <c r="S602" s="145"/>
      <c r="T602" s="145"/>
      <c r="U602" s="145"/>
      <c r="V602" s="145"/>
      <c r="W602" s="145">
        <f>154026.83+164078.41</f>
        <v>318105.24</v>
      </c>
      <c r="X602" s="145"/>
      <c r="Y602" s="124"/>
      <c r="Z602" s="122"/>
      <c r="AA602" s="122"/>
      <c r="AB602" s="122"/>
    </row>
    <row r="603" spans="1:31" ht="18" customHeight="1" x14ac:dyDescent="0.25">
      <c r="A603" s="203" t="s">
        <v>18</v>
      </c>
      <c r="B603" s="203"/>
      <c r="C603" s="145">
        <f>SUM(C597:C602)</f>
        <v>22501467.550000001</v>
      </c>
      <c r="D603" s="145"/>
      <c r="E603" s="145"/>
      <c r="F603" s="145"/>
      <c r="G603" s="145"/>
      <c r="H603" s="145"/>
      <c r="I603" s="145"/>
      <c r="J603" s="147">
        <f t="shared" ref="J603:W603" si="59">SUM(J597:J602)</f>
        <v>5</v>
      </c>
      <c r="K603" s="145">
        <f t="shared" si="59"/>
        <v>11405700.15</v>
      </c>
      <c r="L603" s="145">
        <f t="shared" si="59"/>
        <v>2112</v>
      </c>
      <c r="M603" s="145">
        <f t="shared" si="59"/>
        <v>4422925.3499999996</v>
      </c>
      <c r="N603" s="145"/>
      <c r="O603" s="145"/>
      <c r="P603" s="145">
        <f t="shared" si="59"/>
        <v>2808</v>
      </c>
      <c r="Q603" s="145">
        <f t="shared" si="59"/>
        <v>5112390.0600000005</v>
      </c>
      <c r="R603" s="145"/>
      <c r="S603" s="145"/>
      <c r="T603" s="145"/>
      <c r="U603" s="145"/>
      <c r="V603" s="145"/>
      <c r="W603" s="145">
        <f t="shared" si="59"/>
        <v>1560451.99</v>
      </c>
      <c r="X603" s="145"/>
      <c r="Y603" s="124"/>
      <c r="Z603" s="122"/>
      <c r="AA603" s="122"/>
      <c r="AB603" s="122"/>
      <c r="AE603" s="123"/>
    </row>
    <row r="604" spans="1:31" ht="18" customHeight="1" x14ac:dyDescent="0.25">
      <c r="A604" s="188" t="s">
        <v>109</v>
      </c>
      <c r="B604" s="188"/>
      <c r="C604" s="188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24"/>
      <c r="Z604" s="122"/>
      <c r="AB604" s="122"/>
    </row>
    <row r="605" spans="1:31" ht="18" customHeight="1" x14ac:dyDescent="0.25">
      <c r="A605" s="147">
        <f>A602+1</f>
        <v>391</v>
      </c>
      <c r="B605" s="5" t="s">
        <v>510</v>
      </c>
      <c r="C605" s="145">
        <f>D605+K605+M605+O605+Q605+S605+U605+V605+W605+X605</f>
        <v>973128.02</v>
      </c>
      <c r="D605" s="145"/>
      <c r="E605" s="145"/>
      <c r="F605" s="145"/>
      <c r="G605" s="145"/>
      <c r="H605" s="145"/>
      <c r="I605" s="145"/>
      <c r="J605" s="145"/>
      <c r="K605" s="145"/>
      <c r="L605" s="145">
        <v>598</v>
      </c>
      <c r="M605" s="145">
        <v>973128.02</v>
      </c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24"/>
      <c r="Z605" s="122"/>
      <c r="AB605" s="122"/>
    </row>
    <row r="606" spans="1:31" ht="18" customHeight="1" x14ac:dyDescent="0.25">
      <c r="A606" s="147">
        <f>A605+1</f>
        <v>392</v>
      </c>
      <c r="B606" s="5" t="s">
        <v>511</v>
      </c>
      <c r="C606" s="145">
        <f>D606+K606+M606+O606+Q606+S606+U606+V606+W606+X606</f>
        <v>1463159.73</v>
      </c>
      <c r="D606" s="145"/>
      <c r="E606" s="145"/>
      <c r="F606" s="145"/>
      <c r="G606" s="145"/>
      <c r="H606" s="145"/>
      <c r="I606" s="145"/>
      <c r="J606" s="145"/>
      <c r="K606" s="145"/>
      <c r="L606" s="145">
        <v>845</v>
      </c>
      <c r="M606" s="145">
        <v>1463159.73</v>
      </c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24"/>
      <c r="Z606" s="122"/>
      <c r="AB606" s="122"/>
    </row>
    <row r="607" spans="1:31" ht="18" customHeight="1" x14ac:dyDescent="0.25">
      <c r="A607" s="203" t="s">
        <v>18</v>
      </c>
      <c r="B607" s="203"/>
      <c r="C607" s="145">
        <f>SUM(C605:C606)</f>
        <v>2436287.75</v>
      </c>
      <c r="D607" s="145"/>
      <c r="E607" s="145"/>
      <c r="F607" s="145"/>
      <c r="G607" s="145"/>
      <c r="H607" s="145"/>
      <c r="I607" s="145"/>
      <c r="J607" s="145"/>
      <c r="K607" s="145"/>
      <c r="L607" s="145">
        <f>SUM(L605:L606)</f>
        <v>1443</v>
      </c>
      <c r="M607" s="145">
        <f>SUM(M605:M606)</f>
        <v>2436287.75</v>
      </c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24"/>
      <c r="Z607" s="122"/>
      <c r="AB607" s="122"/>
      <c r="AE607" s="123"/>
    </row>
    <row r="608" spans="1:31" ht="18" customHeight="1" x14ac:dyDescent="0.25">
      <c r="A608" s="188" t="s">
        <v>110</v>
      </c>
      <c r="B608" s="188"/>
      <c r="C608" s="188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24"/>
      <c r="Z608" s="122"/>
      <c r="AB608" s="122"/>
    </row>
    <row r="609" spans="1:31" ht="18" customHeight="1" x14ac:dyDescent="0.25">
      <c r="A609" s="144">
        <f>A606+1</f>
        <v>393</v>
      </c>
      <c r="B609" s="5" t="s">
        <v>512</v>
      </c>
      <c r="C609" s="145">
        <f t="shared" ref="C609:C619" si="60">D609+K609+M609+O609+Q609+S609+U609+V609+W609+X609</f>
        <v>984408.86</v>
      </c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>
        <v>1209.5999999999999</v>
      </c>
      <c r="Q609" s="145">
        <v>795260.39</v>
      </c>
      <c r="R609" s="145"/>
      <c r="S609" s="145"/>
      <c r="T609" s="145"/>
      <c r="U609" s="145"/>
      <c r="V609" s="145"/>
      <c r="W609" s="145">
        <v>189148.47</v>
      </c>
      <c r="X609" s="145"/>
      <c r="Y609" s="124"/>
      <c r="Z609" s="122"/>
      <c r="AA609" s="122"/>
      <c r="AB609" s="122"/>
    </row>
    <row r="610" spans="1:31" ht="18" customHeight="1" x14ac:dyDescent="0.25">
      <c r="A610" s="144">
        <f>A609+1</f>
        <v>394</v>
      </c>
      <c r="B610" s="5" t="s">
        <v>513</v>
      </c>
      <c r="C610" s="145">
        <f>D610+K610+M610+O610+Q610+S610+U610+V610+W610+X610</f>
        <v>1167725.07</v>
      </c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>
        <v>864</v>
      </c>
      <c r="Q610" s="145">
        <v>1167725.07</v>
      </c>
      <c r="R610" s="145"/>
      <c r="S610" s="145"/>
      <c r="T610" s="145"/>
      <c r="U610" s="145"/>
      <c r="V610" s="145"/>
      <c r="W610" s="145"/>
      <c r="X610" s="145"/>
      <c r="Y610" s="124"/>
      <c r="Z610" s="122"/>
      <c r="AA610" s="122"/>
      <c r="AB610" s="122"/>
    </row>
    <row r="611" spans="1:31" ht="18" customHeight="1" x14ac:dyDescent="0.25">
      <c r="A611" s="144">
        <f t="shared" ref="A611:A620" si="61">A610+1</f>
        <v>395</v>
      </c>
      <c r="B611" s="5" t="s">
        <v>514</v>
      </c>
      <c r="C611" s="145">
        <f t="shared" si="60"/>
        <v>3258478.28</v>
      </c>
      <c r="D611" s="145"/>
      <c r="E611" s="145"/>
      <c r="F611" s="145"/>
      <c r="G611" s="145"/>
      <c r="H611" s="145"/>
      <c r="I611" s="145"/>
      <c r="J611" s="145"/>
      <c r="K611" s="145"/>
      <c r="L611" s="145">
        <v>506</v>
      </c>
      <c r="M611" s="145">
        <v>2399037.21</v>
      </c>
      <c r="N611" s="145"/>
      <c r="O611" s="145"/>
      <c r="P611" s="145">
        <v>580.79999999999995</v>
      </c>
      <c r="Q611" s="145">
        <v>859441.07</v>
      </c>
      <c r="R611" s="145"/>
      <c r="S611" s="145"/>
      <c r="T611" s="145"/>
      <c r="U611" s="145"/>
      <c r="V611" s="145"/>
      <c r="W611" s="145"/>
      <c r="X611" s="145"/>
      <c r="Y611" s="124"/>
      <c r="Z611" s="122"/>
      <c r="AA611" s="122"/>
      <c r="AB611" s="122"/>
    </row>
    <row r="612" spans="1:31" ht="18" customHeight="1" x14ac:dyDescent="0.25">
      <c r="A612" s="144">
        <f t="shared" si="61"/>
        <v>396</v>
      </c>
      <c r="B612" s="140" t="s">
        <v>581</v>
      </c>
      <c r="C612" s="145">
        <f>D612+K612+M612+O612+Q612+S612+U612+V612+W612+X612</f>
        <v>1310024.72</v>
      </c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3">
        <v>769.6</v>
      </c>
      <c r="Q612" s="143">
        <v>1310024.72</v>
      </c>
      <c r="R612" s="142"/>
      <c r="S612" s="142"/>
      <c r="T612" s="142"/>
      <c r="U612" s="142"/>
      <c r="V612" s="142"/>
      <c r="W612" s="142"/>
      <c r="X612" s="142"/>
      <c r="Y612" s="124"/>
      <c r="Z612" s="122"/>
      <c r="AB612" s="122"/>
    </row>
    <row r="613" spans="1:31" ht="18" customHeight="1" x14ac:dyDescent="0.25">
      <c r="A613" s="144">
        <f t="shared" si="61"/>
        <v>397</v>
      </c>
      <c r="B613" s="5" t="s">
        <v>515</v>
      </c>
      <c r="C613" s="145">
        <f t="shared" si="60"/>
        <v>4728001.33</v>
      </c>
      <c r="D613" s="145"/>
      <c r="E613" s="145"/>
      <c r="F613" s="145"/>
      <c r="G613" s="145"/>
      <c r="H613" s="145"/>
      <c r="I613" s="145"/>
      <c r="J613" s="145"/>
      <c r="K613" s="145"/>
      <c r="L613" s="145">
        <v>788</v>
      </c>
      <c r="M613" s="145">
        <v>3339819.12</v>
      </c>
      <c r="N613" s="145"/>
      <c r="O613" s="145"/>
      <c r="P613" s="145">
        <v>831.6</v>
      </c>
      <c r="Q613" s="145">
        <v>1234848.83</v>
      </c>
      <c r="R613" s="145"/>
      <c r="S613" s="145"/>
      <c r="T613" s="145"/>
      <c r="U613" s="145"/>
      <c r="V613" s="145"/>
      <c r="W613" s="145">
        <v>153333.38</v>
      </c>
      <c r="X613" s="145"/>
      <c r="Y613" s="124"/>
      <c r="Z613" s="122"/>
      <c r="AA613" s="122"/>
      <c r="AB613" s="122"/>
    </row>
    <row r="614" spans="1:31" ht="18" customHeight="1" x14ac:dyDescent="0.25">
      <c r="A614" s="144">
        <f t="shared" si="61"/>
        <v>398</v>
      </c>
      <c r="B614" s="5" t="s">
        <v>516</v>
      </c>
      <c r="C614" s="145">
        <f t="shared" si="60"/>
        <v>134431</v>
      </c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>
        <v>134431</v>
      </c>
      <c r="X614" s="145"/>
      <c r="Y614" s="124"/>
      <c r="Z614" s="122"/>
      <c r="AA614" s="122"/>
      <c r="AB614" s="122"/>
    </row>
    <row r="615" spans="1:31" ht="18" customHeight="1" x14ac:dyDescent="0.25">
      <c r="A615" s="144">
        <f t="shared" si="61"/>
        <v>399</v>
      </c>
      <c r="B615" s="5" t="s">
        <v>517</v>
      </c>
      <c r="C615" s="145">
        <f t="shared" si="60"/>
        <v>134430.25</v>
      </c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>
        <v>134430.25</v>
      </c>
      <c r="X615" s="145"/>
      <c r="Y615" s="124"/>
      <c r="Z615" s="122"/>
      <c r="AB615" s="122"/>
    </row>
    <row r="616" spans="1:31" ht="18" customHeight="1" x14ac:dyDescent="0.25">
      <c r="A616" s="144">
        <f t="shared" si="61"/>
        <v>400</v>
      </c>
      <c r="B616" s="5" t="s">
        <v>518</v>
      </c>
      <c r="C616" s="145">
        <f t="shared" si="60"/>
        <v>1953982.94</v>
      </c>
      <c r="D616" s="145"/>
      <c r="E616" s="145"/>
      <c r="F616" s="145"/>
      <c r="G616" s="145"/>
      <c r="H616" s="145"/>
      <c r="I616" s="145"/>
      <c r="J616" s="145"/>
      <c r="K616" s="145"/>
      <c r="L616" s="145">
        <v>342</v>
      </c>
      <c r="M616" s="145">
        <v>1795188.94</v>
      </c>
      <c r="N616" s="145"/>
      <c r="O616" s="145"/>
      <c r="P616" s="145"/>
      <c r="Q616" s="145"/>
      <c r="R616" s="145"/>
      <c r="S616" s="145"/>
      <c r="T616" s="145"/>
      <c r="U616" s="145"/>
      <c r="V616" s="145"/>
      <c r="W616" s="145">
        <v>158794</v>
      </c>
      <c r="X616" s="145"/>
      <c r="Y616" s="124"/>
      <c r="Z616" s="122"/>
      <c r="AB616" s="122"/>
    </row>
    <row r="617" spans="1:31" ht="18" customHeight="1" x14ac:dyDescent="0.25">
      <c r="A617" s="144">
        <f t="shared" si="61"/>
        <v>401</v>
      </c>
      <c r="B617" s="5" t="s">
        <v>519</v>
      </c>
      <c r="C617" s="145">
        <f t="shared" si="60"/>
        <v>879085.47</v>
      </c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>
        <f>182166.6+133711.34+143503.55+307030.49+112673.49</f>
        <v>879085.47</v>
      </c>
      <c r="X617" s="145"/>
      <c r="Y617" s="124"/>
      <c r="Z617" s="122"/>
      <c r="AB617" s="122"/>
    </row>
    <row r="618" spans="1:31" ht="18" customHeight="1" x14ac:dyDescent="0.25">
      <c r="A618" s="144">
        <f t="shared" si="61"/>
        <v>402</v>
      </c>
      <c r="B618" s="5" t="s">
        <v>520</v>
      </c>
      <c r="C618" s="145">
        <f t="shared" si="60"/>
        <v>745374.13</v>
      </c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>
        <f>182166.6+143503.55+112673.49+307030.49</f>
        <v>745374.13</v>
      </c>
      <c r="X618" s="145"/>
      <c r="Y618" s="124"/>
      <c r="Z618" s="122"/>
      <c r="AB618" s="122"/>
    </row>
    <row r="619" spans="1:31" ht="18" customHeight="1" x14ac:dyDescent="0.25">
      <c r="A619" s="144">
        <f t="shared" si="61"/>
        <v>403</v>
      </c>
      <c r="B619" s="5" t="s">
        <v>521</v>
      </c>
      <c r="C619" s="145">
        <f t="shared" si="60"/>
        <v>745374.13</v>
      </c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>
        <f>182166.6+143503.55+112673.49+307030.49</f>
        <v>745374.13</v>
      </c>
      <c r="X619" s="145"/>
      <c r="Y619" s="124"/>
      <c r="Z619" s="122"/>
      <c r="AB619" s="122"/>
    </row>
    <row r="620" spans="1:31" ht="18" customHeight="1" x14ac:dyDescent="0.25">
      <c r="A620" s="144">
        <f t="shared" si="61"/>
        <v>404</v>
      </c>
      <c r="B620" s="5" t="s">
        <v>522</v>
      </c>
      <c r="C620" s="145">
        <f>D620+K620+M620+O620+Q620+S620+U620+V620+W620+X620</f>
        <v>580287.13</v>
      </c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>
        <v>518</v>
      </c>
      <c r="Q620" s="145">
        <v>451298.12</v>
      </c>
      <c r="R620" s="145"/>
      <c r="S620" s="145"/>
      <c r="T620" s="145"/>
      <c r="U620" s="145"/>
      <c r="V620" s="145"/>
      <c r="W620" s="145">
        <v>128989.01</v>
      </c>
      <c r="X620" s="145"/>
      <c r="Y620" s="124"/>
      <c r="Z620" s="122"/>
      <c r="AA620" s="122"/>
      <c r="AB620" s="122"/>
    </row>
    <row r="621" spans="1:31" ht="18" customHeight="1" x14ac:dyDescent="0.25">
      <c r="A621" s="203" t="s">
        <v>18</v>
      </c>
      <c r="B621" s="203"/>
      <c r="C621" s="145">
        <f>SUM(C609:C620)</f>
        <v>16621603.310000002</v>
      </c>
      <c r="D621" s="145"/>
      <c r="E621" s="145"/>
      <c r="F621" s="145"/>
      <c r="G621" s="145"/>
      <c r="H621" s="145"/>
      <c r="I621" s="145"/>
      <c r="J621" s="145"/>
      <c r="K621" s="145"/>
      <c r="L621" s="145">
        <f>SUM(L609:L620)</f>
        <v>1636</v>
      </c>
      <c r="M621" s="145">
        <f>SUM(M609:M620)</f>
        <v>7534045.2699999996</v>
      </c>
      <c r="N621" s="145"/>
      <c r="O621" s="145"/>
      <c r="P621" s="145">
        <f>SUM(P609:P620)</f>
        <v>4773.5999999999995</v>
      </c>
      <c r="Q621" s="145">
        <f>SUM(Q609:Q620)</f>
        <v>5818598.2000000002</v>
      </c>
      <c r="R621" s="145"/>
      <c r="S621" s="145"/>
      <c r="T621" s="145"/>
      <c r="U621" s="145"/>
      <c r="V621" s="145"/>
      <c r="W621" s="145">
        <f>SUM(W609:W620)</f>
        <v>3268959.8399999994</v>
      </c>
      <c r="X621" s="145"/>
      <c r="Y621" s="124"/>
      <c r="Z621" s="122"/>
      <c r="AA621" s="122"/>
      <c r="AB621" s="122"/>
      <c r="AE621" s="123"/>
    </row>
    <row r="622" spans="1:31" s="134" customFormat="1" ht="18" customHeight="1" x14ac:dyDescent="0.25">
      <c r="A622" s="188" t="s">
        <v>111</v>
      </c>
      <c r="B622" s="188"/>
      <c r="C622" s="149">
        <f>C595+C603+C607+C621+C589</f>
        <v>52212253.68</v>
      </c>
      <c r="D622" s="149">
        <f>D595+D603+D607+D621+D589</f>
        <v>6919112.3499999996</v>
      </c>
      <c r="E622" s="149">
        <f>E595+E603+E607+E621+E589</f>
        <v>6919112.3499999996</v>
      </c>
      <c r="F622" s="149"/>
      <c r="G622" s="149"/>
      <c r="H622" s="149"/>
      <c r="I622" s="149"/>
      <c r="J622" s="16">
        <f>J595+J603+J607+J621+J589</f>
        <v>5</v>
      </c>
      <c r="K622" s="149">
        <f>K595+K603+K607+K621+K589</f>
        <v>11405700.15</v>
      </c>
      <c r="L622" s="149">
        <f>L595+L603+L607+L621+L589</f>
        <v>5191</v>
      </c>
      <c r="M622" s="149">
        <f>M595+M603+M607+M621+M589</f>
        <v>14393258.369999999</v>
      </c>
      <c r="N622" s="149"/>
      <c r="O622" s="149"/>
      <c r="P622" s="149">
        <f>P595+P603+P607+P621+P589</f>
        <v>7581.5999999999995</v>
      </c>
      <c r="Q622" s="149">
        <f>Q595+Q603+Q607+Q621+Q589</f>
        <v>10930988.260000002</v>
      </c>
      <c r="R622" s="149"/>
      <c r="S622" s="149"/>
      <c r="T622" s="149"/>
      <c r="U622" s="149"/>
      <c r="V622" s="149"/>
      <c r="W622" s="149">
        <f>W595+W603+W607+W621+W589</f>
        <v>8563194.5500000007</v>
      </c>
      <c r="X622" s="149">
        <f>X595+X603+X607+X621+X589</f>
        <v>0</v>
      </c>
      <c r="Y622" s="124"/>
      <c r="Z622" s="122"/>
      <c r="AA622" s="122"/>
      <c r="AB622" s="122"/>
      <c r="AC622" s="123"/>
    </row>
    <row r="623" spans="1:31" ht="18" customHeight="1" x14ac:dyDescent="0.25">
      <c r="A623" s="189" t="s">
        <v>112</v>
      </c>
      <c r="B623" s="189"/>
      <c r="C623" s="149">
        <f t="shared" ref="C623:U623" si="62">C622+C585+C544+C529+C490+C455+C436+C380+C349+C331+C293+C283+C263+C224+C184+C134+C73+C50</f>
        <v>1043077567.5095999</v>
      </c>
      <c r="D623" s="149">
        <f t="shared" si="62"/>
        <v>54710593.29999999</v>
      </c>
      <c r="E623" s="149">
        <f t="shared" si="62"/>
        <v>36312156.82</v>
      </c>
      <c r="F623" s="149">
        <f t="shared" si="62"/>
        <v>14665266.43</v>
      </c>
      <c r="G623" s="149">
        <f t="shared" si="62"/>
        <v>1225006.69</v>
      </c>
      <c r="H623" s="149">
        <f t="shared" si="62"/>
        <v>2362392.48</v>
      </c>
      <c r="I623" s="149">
        <f t="shared" si="62"/>
        <v>145770.88</v>
      </c>
      <c r="J623" s="16">
        <f t="shared" si="62"/>
        <v>53</v>
      </c>
      <c r="K623" s="149">
        <f t="shared" si="62"/>
        <v>121151393.98999999</v>
      </c>
      <c r="L623" s="149">
        <f t="shared" si="62"/>
        <v>124669.35</v>
      </c>
      <c r="M623" s="149">
        <f t="shared" si="62"/>
        <v>425025882.44999993</v>
      </c>
      <c r="N623" s="149">
        <f t="shared" si="62"/>
        <v>4825</v>
      </c>
      <c r="O623" s="149">
        <f t="shared" si="62"/>
        <v>7796504.9799999995</v>
      </c>
      <c r="P623" s="149">
        <f t="shared" si="62"/>
        <v>99055.469999999987</v>
      </c>
      <c r="Q623" s="149">
        <f t="shared" si="62"/>
        <v>233422382.14959997</v>
      </c>
      <c r="R623" s="149">
        <f t="shared" si="62"/>
        <v>325</v>
      </c>
      <c r="S623" s="149">
        <f t="shared" si="62"/>
        <v>5313728.2300000004</v>
      </c>
      <c r="T623" s="149">
        <f t="shared" si="62"/>
        <v>9488.61</v>
      </c>
      <c r="U623" s="149">
        <f t="shared" si="62"/>
        <v>39973816.299999997</v>
      </c>
      <c r="V623" s="149"/>
      <c r="W623" s="149">
        <f>W622+W585+W544+W529+W490+W455+W436+W380+W349+W331+W293+W283+W263+W224+W184+W134+W73+W50</f>
        <v>155683265.10999995</v>
      </c>
      <c r="X623" s="149">
        <f>X622+X585+X544+X529+X490+X455+X436+X380+X349+X331+X293+X283+X263+X224+X184+X134+X73+X50</f>
        <v>0</v>
      </c>
      <c r="Y623" s="124"/>
      <c r="Z623" s="122"/>
      <c r="AA623" s="122"/>
      <c r="AB623" s="122"/>
    </row>
    <row r="624" spans="1:31" ht="18" customHeight="1" x14ac:dyDescent="0.25">
      <c r="A624" s="227" t="s">
        <v>176</v>
      </c>
      <c r="B624" s="227"/>
      <c r="C624" s="102">
        <f>(C623-W623-X623)*0.0214</f>
        <v>18990238.071351439</v>
      </c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24"/>
      <c r="Z624" s="122"/>
      <c r="AB624" s="122"/>
    </row>
    <row r="625" spans="1:31" ht="18" customHeight="1" x14ac:dyDescent="0.25">
      <c r="A625" s="188" t="s">
        <v>175</v>
      </c>
      <c r="B625" s="188"/>
      <c r="C625" s="117">
        <f>C623+C624</f>
        <v>1062067805.5809513</v>
      </c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24"/>
      <c r="Z625" s="122"/>
      <c r="AB625" s="122"/>
      <c r="AE625" s="123"/>
    </row>
    <row r="627" spans="1:31" x14ac:dyDescent="0.25">
      <c r="C627" s="118"/>
    </row>
  </sheetData>
  <mergeCells count="316">
    <mergeCell ref="AC1:AC11"/>
    <mergeCell ref="A390:B390"/>
    <mergeCell ref="A402:B402"/>
    <mergeCell ref="A431:C431"/>
    <mergeCell ref="A391:C391"/>
    <mergeCell ref="A403:C403"/>
    <mergeCell ref="A447:B447"/>
    <mergeCell ref="A437:X437"/>
    <mergeCell ref="A441:C441"/>
    <mergeCell ref="A444:C444"/>
    <mergeCell ref="D444:X444"/>
    <mergeCell ref="D416:X416"/>
    <mergeCell ref="D422:X422"/>
    <mergeCell ref="A416:C416"/>
    <mergeCell ref="D391:X391"/>
    <mergeCell ref="A422:C422"/>
    <mergeCell ref="A415:B415"/>
    <mergeCell ref="A421:B421"/>
    <mergeCell ref="A293:B293"/>
    <mergeCell ref="A288:B288"/>
    <mergeCell ref="A292:B292"/>
    <mergeCell ref="A305:B305"/>
    <mergeCell ref="A309:B309"/>
    <mergeCell ref="A9:X9"/>
    <mergeCell ref="A455:B455"/>
    <mergeCell ref="A443:B443"/>
    <mergeCell ref="A436:B436"/>
    <mergeCell ref="A454:B454"/>
    <mergeCell ref="A448:C448"/>
    <mergeCell ref="D448:X448"/>
    <mergeCell ref="D485:X485"/>
    <mergeCell ref="A460:C460"/>
    <mergeCell ref="A463:C463"/>
    <mergeCell ref="A473:C473"/>
    <mergeCell ref="D460:X460"/>
    <mergeCell ref="A438:C438"/>
    <mergeCell ref="D438:X438"/>
    <mergeCell ref="D441:X441"/>
    <mergeCell ref="A440:B440"/>
    <mergeCell ref="A456:X456"/>
    <mergeCell ref="A476:C476"/>
    <mergeCell ref="A489:B489"/>
    <mergeCell ref="A485:C485"/>
    <mergeCell ref="A457:C457"/>
    <mergeCell ref="D476:X476"/>
    <mergeCell ref="D492:X492"/>
    <mergeCell ref="D495:X495"/>
    <mergeCell ref="D501:X501"/>
    <mergeCell ref="D463:X463"/>
    <mergeCell ref="D473:X473"/>
    <mergeCell ref="A501:C501"/>
    <mergeCell ref="A624:B624"/>
    <mergeCell ref="A590:C590"/>
    <mergeCell ref="A586:X586"/>
    <mergeCell ref="D574:X574"/>
    <mergeCell ref="A573:B573"/>
    <mergeCell ref="A584:B584"/>
    <mergeCell ref="A574:C574"/>
    <mergeCell ref="A604:C604"/>
    <mergeCell ref="A608:C608"/>
    <mergeCell ref="A623:B623"/>
    <mergeCell ref="A596:C596"/>
    <mergeCell ref="D608:X608"/>
    <mergeCell ref="A585:B585"/>
    <mergeCell ref="A552:B552"/>
    <mergeCell ref="D590:X590"/>
    <mergeCell ref="D596:X596"/>
    <mergeCell ref="A553:C553"/>
    <mergeCell ref="A529:B529"/>
    <mergeCell ref="A625:B625"/>
    <mergeCell ref="A595:B595"/>
    <mergeCell ref="A603:B603"/>
    <mergeCell ref="A607:B607"/>
    <mergeCell ref="A621:B621"/>
    <mergeCell ref="A622:B622"/>
    <mergeCell ref="A545:X545"/>
    <mergeCell ref="D556:X556"/>
    <mergeCell ref="A555:B555"/>
    <mergeCell ref="A549:B549"/>
    <mergeCell ref="A556:C556"/>
    <mergeCell ref="D553:X553"/>
    <mergeCell ref="A546:C546"/>
    <mergeCell ref="A550:C550"/>
    <mergeCell ref="D546:X546"/>
    <mergeCell ref="D550:X550"/>
    <mergeCell ref="A587:E587"/>
    <mergeCell ref="A589:B589"/>
    <mergeCell ref="D604:X604"/>
    <mergeCell ref="A530:X530"/>
    <mergeCell ref="A544:B544"/>
    <mergeCell ref="A430:B430"/>
    <mergeCell ref="A435:B435"/>
    <mergeCell ref="A410:C410"/>
    <mergeCell ref="D403:X403"/>
    <mergeCell ref="D431:X431"/>
    <mergeCell ref="A381:X381"/>
    <mergeCell ref="A382:C382"/>
    <mergeCell ref="D382:X382"/>
    <mergeCell ref="A409:B409"/>
    <mergeCell ref="D410:X410"/>
    <mergeCell ref="A494:B494"/>
    <mergeCell ref="A500:B500"/>
    <mergeCell ref="A528:B528"/>
    <mergeCell ref="A491:X491"/>
    <mergeCell ref="A492:C492"/>
    <mergeCell ref="A495:C495"/>
    <mergeCell ref="D457:X457"/>
    <mergeCell ref="A490:B490"/>
    <mergeCell ref="A459:B459"/>
    <mergeCell ref="A472:B472"/>
    <mergeCell ref="A475:B475"/>
    <mergeCell ref="A484:B484"/>
    <mergeCell ref="A61:B61"/>
    <mergeCell ref="D93:X93"/>
    <mergeCell ref="A136:C136"/>
    <mergeCell ref="A223:B223"/>
    <mergeCell ref="D107:X107"/>
    <mergeCell ref="D136:X136"/>
    <mergeCell ref="D143:X143"/>
    <mergeCell ref="D147:X147"/>
    <mergeCell ref="A107:C107"/>
    <mergeCell ref="A142:B142"/>
    <mergeCell ref="A184:B184"/>
    <mergeCell ref="A211:C211"/>
    <mergeCell ref="A217:C217"/>
    <mergeCell ref="A191:B191"/>
    <mergeCell ref="A203:B203"/>
    <mergeCell ref="A208:C208"/>
    <mergeCell ref="A146:B146"/>
    <mergeCell ref="A143:C143"/>
    <mergeCell ref="A154:B154"/>
    <mergeCell ref="A133:B133"/>
    <mergeCell ref="A130:C130"/>
    <mergeCell ref="A129:B129"/>
    <mergeCell ref="A123:B123"/>
    <mergeCell ref="A62:C62"/>
    <mergeCell ref="A47:C47"/>
    <mergeCell ref="A50:B50"/>
    <mergeCell ref="A49:B49"/>
    <mergeCell ref="A51:X51"/>
    <mergeCell ref="A58:B58"/>
    <mergeCell ref="A54:B54"/>
    <mergeCell ref="A55:C55"/>
    <mergeCell ref="A1:X1"/>
    <mergeCell ref="A3:A7"/>
    <mergeCell ref="B3:B7"/>
    <mergeCell ref="C3:C6"/>
    <mergeCell ref="D3:X3"/>
    <mergeCell ref="D4:I4"/>
    <mergeCell ref="J4:K6"/>
    <mergeCell ref="L4:M6"/>
    <mergeCell ref="N4:O6"/>
    <mergeCell ref="P4:Q6"/>
    <mergeCell ref="W4:W6"/>
    <mergeCell ref="X4:X6"/>
    <mergeCell ref="D5:D6"/>
    <mergeCell ref="R4:S6"/>
    <mergeCell ref="T4:U6"/>
    <mergeCell ref="V4:V6"/>
    <mergeCell ref="E5:I5"/>
    <mergeCell ref="D81:X81"/>
    <mergeCell ref="D86:X86"/>
    <mergeCell ref="D90:X90"/>
    <mergeCell ref="A92:B92"/>
    <mergeCell ref="A85:B85"/>
    <mergeCell ref="A89:B89"/>
    <mergeCell ref="D10:X10"/>
    <mergeCell ref="D28:X28"/>
    <mergeCell ref="A36:B36"/>
    <mergeCell ref="A31:B31"/>
    <mergeCell ref="A27:B27"/>
    <mergeCell ref="A10:C10"/>
    <mergeCell ref="A28:C28"/>
    <mergeCell ref="A32:C32"/>
    <mergeCell ref="A46:B46"/>
    <mergeCell ref="D32:X32"/>
    <mergeCell ref="A37:C37"/>
    <mergeCell ref="D47:X47"/>
    <mergeCell ref="D37:X37"/>
    <mergeCell ref="D59:X59"/>
    <mergeCell ref="A52:C52"/>
    <mergeCell ref="A59:C59"/>
    <mergeCell ref="D52:X52"/>
    <mergeCell ref="D55:X55"/>
    <mergeCell ref="D75:X75"/>
    <mergeCell ref="D110:X110"/>
    <mergeCell ref="A93:C93"/>
    <mergeCell ref="A109:B109"/>
    <mergeCell ref="A106:B106"/>
    <mergeCell ref="A175:C175"/>
    <mergeCell ref="D62:X62"/>
    <mergeCell ref="A81:C81"/>
    <mergeCell ref="A86:C86"/>
    <mergeCell ref="A67:C67"/>
    <mergeCell ref="A70:C70"/>
    <mergeCell ref="D124:X124"/>
    <mergeCell ref="D70:X70"/>
    <mergeCell ref="A66:B66"/>
    <mergeCell ref="D67:X67"/>
    <mergeCell ref="A73:B73"/>
    <mergeCell ref="A74:X74"/>
    <mergeCell ref="A75:C75"/>
    <mergeCell ref="A80:B80"/>
    <mergeCell ref="A90:C90"/>
    <mergeCell ref="A72:B72"/>
    <mergeCell ref="A69:B69"/>
    <mergeCell ref="A163:C163"/>
    <mergeCell ref="A135:X135"/>
    <mergeCell ref="A162:B162"/>
    <mergeCell ref="A165:B165"/>
    <mergeCell ref="A174:B174"/>
    <mergeCell ref="A186:C186"/>
    <mergeCell ref="A147:C147"/>
    <mergeCell ref="A155:C155"/>
    <mergeCell ref="A192:C192"/>
    <mergeCell ref="A204:C204"/>
    <mergeCell ref="A185:X185"/>
    <mergeCell ref="D192:X192"/>
    <mergeCell ref="D163:X163"/>
    <mergeCell ref="D166:X166"/>
    <mergeCell ref="D175:X175"/>
    <mergeCell ref="D186:X186"/>
    <mergeCell ref="D130:X130"/>
    <mergeCell ref="A110:C110"/>
    <mergeCell ref="A124:C124"/>
    <mergeCell ref="A183:B183"/>
    <mergeCell ref="D155:X155"/>
    <mergeCell ref="A134:B134"/>
    <mergeCell ref="D204:X204"/>
    <mergeCell ref="D211:X211"/>
    <mergeCell ref="A370:C370"/>
    <mergeCell ref="A226:C226"/>
    <mergeCell ref="A265:C265"/>
    <mergeCell ref="A271:C271"/>
    <mergeCell ref="A224:B224"/>
    <mergeCell ref="A262:B262"/>
    <mergeCell ref="A264:X264"/>
    <mergeCell ref="A225:X225"/>
    <mergeCell ref="A282:B282"/>
    <mergeCell ref="A283:B283"/>
    <mergeCell ref="A284:X284"/>
    <mergeCell ref="D358:X358"/>
    <mergeCell ref="D226:X226"/>
    <mergeCell ref="A207:B207"/>
    <mergeCell ref="A216:B216"/>
    <mergeCell ref="A166:C166"/>
    <mergeCell ref="A348:B348"/>
    <mergeCell ref="A349:B349"/>
    <mergeCell ref="D370:X370"/>
    <mergeCell ref="D260:X260"/>
    <mergeCell ref="D361:X361"/>
    <mergeCell ref="D366:X366"/>
    <mergeCell ref="D295:X295"/>
    <mergeCell ref="D306:X306"/>
    <mergeCell ref="D310:X310"/>
    <mergeCell ref="D314:X314"/>
    <mergeCell ref="D321:X321"/>
    <mergeCell ref="D289:X289"/>
    <mergeCell ref="A327:C327"/>
    <mergeCell ref="D324:X324"/>
    <mergeCell ref="A310:C310"/>
    <mergeCell ref="A314:C314"/>
    <mergeCell ref="A317:C317"/>
    <mergeCell ref="D317:X317"/>
    <mergeCell ref="A358:C358"/>
    <mergeCell ref="D327:X327"/>
    <mergeCell ref="A324:C324"/>
    <mergeCell ref="A321:C321"/>
    <mergeCell ref="A259:B259"/>
    <mergeCell ref="A278:C278"/>
    <mergeCell ref="A257:C257"/>
    <mergeCell ref="A260:C260"/>
    <mergeCell ref="A285:C285"/>
    <mergeCell ref="A320:B320"/>
    <mergeCell ref="D217:X217"/>
    <mergeCell ref="D208:X208"/>
    <mergeCell ref="A256:B256"/>
    <mergeCell ref="D257:X257"/>
    <mergeCell ref="A210:B210"/>
    <mergeCell ref="D265:X265"/>
    <mergeCell ref="D271:X271"/>
    <mergeCell ref="D278:X278"/>
    <mergeCell ref="A263:B263"/>
    <mergeCell ref="A270:B270"/>
    <mergeCell ref="A277:B277"/>
    <mergeCell ref="D285:X285"/>
    <mergeCell ref="A306:C306"/>
    <mergeCell ref="A294:X294"/>
    <mergeCell ref="A295:C295"/>
    <mergeCell ref="A313:B313"/>
    <mergeCell ref="A316:B316"/>
    <mergeCell ref="A289:C289"/>
    <mergeCell ref="A380:B380"/>
    <mergeCell ref="A354:B354"/>
    <mergeCell ref="A357:B357"/>
    <mergeCell ref="A360:B360"/>
    <mergeCell ref="A365:B365"/>
    <mergeCell ref="A369:B369"/>
    <mergeCell ref="A375:B375"/>
    <mergeCell ref="A332:X332"/>
    <mergeCell ref="A323:B323"/>
    <mergeCell ref="A326:B326"/>
    <mergeCell ref="A330:B330"/>
    <mergeCell ref="A331:B331"/>
    <mergeCell ref="A379:B379"/>
    <mergeCell ref="A350:X350"/>
    <mergeCell ref="A351:C351"/>
    <mergeCell ref="A355:C355"/>
    <mergeCell ref="D351:X351"/>
    <mergeCell ref="D355:X355"/>
    <mergeCell ref="A376:C376"/>
    <mergeCell ref="A361:C361"/>
    <mergeCell ref="A366:C366"/>
    <mergeCell ref="D376:X376"/>
    <mergeCell ref="D333:X333"/>
    <mergeCell ref="A333:C333"/>
  </mergeCells>
  <phoneticPr fontId="16" type="noConversion"/>
  <printOptions horizontalCentered="1"/>
  <pageMargins left="0.15748031496062992" right="0.15748031496062992" top="0.35433070866141736" bottom="0.23622047244094491" header="0.15748031496062992" footer="0.15748031496062992"/>
  <pageSetup paperSize="9" scale="37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характеристика мкд</vt:lpstr>
      <vt:lpstr>виды работ </vt:lpstr>
      <vt:lpstr>Лист1</vt:lpstr>
      <vt:lpstr>'виды работ '!Заголовки_для_печати</vt:lpstr>
      <vt:lpstr>'характеристика мкд'!Заголовки_для_печати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2018-01-24T07:32:48Z</dcterms:modified>
</cp:coreProperties>
</file>