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56" windowWidth="15576" windowHeight="11016" tabRatio="884" activeTab="1"/>
  </bookViews>
  <sheets>
    <sheet name="раздел3" sheetId="1" r:id="rId1"/>
    <sheet name="раздел 4" sheetId="2" r:id="rId2"/>
    <sheet name="Лист1" sheetId="3" state="hidden" r:id="rId3"/>
  </sheets>
  <definedNames>
    <definedName name="_xlnm._FilterDatabase" localSheetId="1" hidden="1">'раздел 4'!$A$9:$Z$88</definedName>
    <definedName name="BossProviderVariable?_3f516715_10ca_45b6_90bf_dcd971712b64" hidden="1">"25_01_2006"</definedName>
    <definedName name="_xlnm.Print_Titles" localSheetId="1">'раздел 4'!$8:$8</definedName>
    <definedName name="_xlnm.Print_Area" localSheetId="1">'раздел 4'!$A$1:$X$245</definedName>
    <definedName name="_xlnm.Print_Area" localSheetId="0">'раздел3'!$A$1:$T$240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W15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<sst xmlns="http://schemas.openxmlformats.org/spreadsheetml/2006/main" count="1393" uniqueCount="402">
  <si>
    <t>Адрес МКД</t>
  </si>
  <si>
    <t>Сосновоборский городской округ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</si>
  <si>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</si>
  <si>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</si>
  <si>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</si>
  <si>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</si>
  <si>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</si>
  <si>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</si>
  <si>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</si>
  <si>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</si>
  <si>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</si>
  <si>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</si>
  <si>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</si>
  <si>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</si>
  <si>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</si>
  <si>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</si>
  <si>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</si>
  <si>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</si>
  <si>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</si>
  <si>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</si>
  <si>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</si>
  <si>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</si>
  <si>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</si>
  <si>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</si>
  <si>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</si>
  <si>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</si>
  <si>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</si>
  <si>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</si>
  <si>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панель</t>
  </si>
  <si>
    <t>кирпич</t>
  </si>
  <si>
    <t>5/6</t>
  </si>
  <si>
    <t>дерево</t>
  </si>
  <si>
    <t>-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</si>
  <si>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</si>
  <si>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</si>
  <si>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</si>
  <si>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</si>
  <si>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</si>
  <si>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</si>
  <si>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</si>
  <si>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</si>
  <si>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</si>
  <si>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</si>
  <si>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</si>
  <si>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</si>
  <si>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</si>
  <si>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</si>
  <si>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</si>
  <si>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</si>
  <si>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</si>
  <si>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</si>
  <si>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</si>
  <si>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</si>
  <si>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</si>
  <si>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</si>
  <si>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</si>
  <si>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</si>
  <si>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</si>
  <si>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</si>
  <si>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</si>
  <si>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</si>
  <si>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</si>
  <si>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</si>
  <si>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</si>
  <si>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</si>
  <si>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</si>
  <si>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</si>
  <si>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</si>
  <si>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</si>
  <si>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</si>
  <si>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</si>
  <si>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</si>
  <si>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</si>
  <si>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</si>
  <si>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</si>
  <si>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</si>
  <si>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</si>
  <si>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</si>
  <si>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</si>
  <si>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</si>
  <si>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</si>
  <si>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</si>
  <si>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</si>
  <si>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</si>
  <si>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</si>
  <si>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</si>
  <si>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</si>
  <si>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</si>
  <si>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</si>
  <si>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</si>
  <si>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</si>
  <si>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</si>
  <si>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</si>
  <si>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</si>
  <si>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</si>
  <si>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</si>
  <si>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электрика</t>
  </si>
  <si>
    <t>фасад</t>
  </si>
  <si>
    <t>хвс</t>
  </si>
  <si>
    <t>электрика+хвс</t>
  </si>
  <si>
    <t>электрика+фундамент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</si>
  <si>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</si>
  <si>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</si>
  <si>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</si>
  <si>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</si>
  <si>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</si>
  <si>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 xml:space="preserve"> п. Дятлово ул. Героев Танкистов д.9</t>
  </si>
  <si>
    <t xml:space="preserve"> п. Дятлово ул. Героев Танкистов д.7</t>
  </si>
  <si>
    <t>Ж/б панели</t>
  </si>
  <si>
    <t>Ж/б блок</t>
  </si>
  <si>
    <t>1 859,98 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</si>
  <si>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</si>
  <si>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</si>
  <si>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</si>
  <si>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</si>
  <si>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</si>
  <si>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</si>
  <si>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</si>
  <si>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</si>
  <si>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</si>
  <si>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</si>
  <si>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</si>
  <si>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</si>
  <si>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</si>
  <si>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г. Тихвин, 3 мкр. д. 15</t>
  </si>
  <si>
    <t>г. Тихвин, 3 мкр. д. 16</t>
  </si>
  <si>
    <t>г. Тихвин, Ленинградская, д. 143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</si>
  <si>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</si>
  <si>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</si>
  <si>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</si>
  <si>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</si>
  <si>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</si>
  <si>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</si>
  <si>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</si>
  <si>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</si>
  <si>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</si>
  <si>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</si>
  <si>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</si>
  <si>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</si>
  <si>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</si>
  <si>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</si>
  <si>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</si>
  <si>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</si>
  <si>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</si>
  <si>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</si>
  <si>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</si>
  <si>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>п. Межозерный д. №6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</si>
  <si>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</si>
  <si>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</si>
  <si>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</si>
  <si>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</si>
  <si>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</si>
  <si>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</si>
  <si>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</si>
  <si>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</si>
  <si>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</si>
  <si>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</si>
  <si>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</si>
  <si>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</si>
  <si>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</si>
  <si>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</si>
  <si>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</si>
  <si>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</si>
  <si>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</si>
  <si>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</si>
  <si>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</si>
  <si>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</si>
  <si>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</si>
  <si>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</si>
  <si>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</si>
  <si>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</si>
  <si>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</si>
  <si>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</si>
  <si>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пер. Привокзальный, д. 1  </t>
  </si>
  <si>
    <t xml:space="preserve">Г. Выборг, наб. 40-летия ВЛКСМ, д. 7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</si>
  <si>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</si>
  <si>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</si>
  <si>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</si>
  <si>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</si>
  <si>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</si>
  <si>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</si>
  <si>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</si>
  <si>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ул. Промышленная, д. 2</t>
  </si>
  <si>
    <t>восст. 1962</t>
  </si>
  <si>
    <t>нет заключения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</si>
  <si>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</si>
  <si>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</si>
  <si>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</si>
  <si>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</si>
  <si>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</si>
  <si>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</si>
  <si>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</si>
  <si>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</si>
  <si>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</si>
  <si>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</si>
  <si>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</si>
  <si>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</si>
  <si>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</si>
  <si>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 xml:space="preserve">Г.п. Кузьмоловский, ул. Ленинградское шоссе, д. 10  </t>
  </si>
  <si>
    <t>нет заключения (гарантийное письмо)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</si>
  <si>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</si>
  <si>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</si>
  <si>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</si>
  <si>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</si>
  <si>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</si>
  <si>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</si>
  <si>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</si>
  <si>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</si>
  <si>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</si>
  <si>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</si>
  <si>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</si>
  <si>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</si>
  <si>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</si>
  <si>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</si>
  <si>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</si>
  <si>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</si>
  <si>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</si>
  <si>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</si>
  <si>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</si>
  <si>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У ГЖИ (в табличке) написано что согласовано но письма я не нашла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</si>
  <si>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</si>
  <si>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</si>
  <si>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</si>
  <si>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</si>
  <si>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</si>
  <si>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</si>
  <si>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</si>
  <si>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</si>
  <si>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</si>
  <si>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</si>
  <si>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</si>
  <si>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</si>
  <si>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 Яльгелево, д.23</t>
  </si>
  <si>
    <t>выписка из бюджета 8,64 млн.рублей</t>
  </si>
  <si>
    <t xml:space="preserve">д. Кипень, Ропшинское ш., 21 </t>
  </si>
  <si>
    <t>согласования ГЖИ нет. Есть согласование на 2018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</si>
  <si>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</si>
  <si>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</si>
  <si>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</si>
  <si>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</si>
  <si>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</si>
  <si>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</si>
  <si>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кр/пан.</t>
  </si>
  <si>
    <t>Луга-2, ул.Мелиораторов д.7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</si>
  <si>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</si>
  <si>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</si>
  <si>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</si>
  <si>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</si>
  <si>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</si>
  <si>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>не проводился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</si>
  <si>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</si>
  <si>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</si>
  <si>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</si>
  <si>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</si>
  <si>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</si>
  <si>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</si>
  <si>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</si>
  <si>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</si>
  <si>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</si>
  <si>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</si>
  <si>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</si>
  <si>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</si>
  <si>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</si>
  <si>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</si>
  <si>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</si>
  <si>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</si>
  <si>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</si>
  <si>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</si>
  <si>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</si>
  <si>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</si>
  <si>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</si>
  <si>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</si>
  <si>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</si>
  <si>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</si>
  <si>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</si>
  <si>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</si>
  <si>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крыша</t>
  </si>
  <si>
    <t>фундамент</t>
  </si>
  <si>
    <t>фасад+фундамент+ТС</t>
  </si>
  <si>
    <t>крыша+фасад</t>
  </si>
  <si>
    <t>Электрика</t>
  </si>
  <si>
    <t>фасад+фундамент</t>
  </si>
  <si>
    <t>м крыша</t>
  </si>
  <si>
    <t>лифт</t>
  </si>
  <si>
    <t>ж крыша</t>
  </si>
  <si>
    <t>фасад+крыша</t>
  </si>
  <si>
    <t>м крыша+э+ХВС+ГВС+ОВ+ТС</t>
  </si>
  <si>
    <t>фасад+ж крыша</t>
  </si>
  <si>
    <t>ж крыша+фасад</t>
  </si>
  <si>
    <t>Э+ХВС+ГВС+ТС+ВО</t>
  </si>
  <si>
    <t>м крыша+фасад</t>
  </si>
  <si>
    <t>Э+ХВС+ГВС+ТС+ВО+м крыша</t>
  </si>
  <si>
    <t>ж крыша+Э+ХВС+ГВС+ТС+ВО+подвал+УУ</t>
  </si>
  <si>
    <t>м крыша+Э+ХВС+ГВС+ТС+ВО+утпл фасад+подвал+УУ</t>
  </si>
  <si>
    <t>м крыша+фундамент</t>
  </si>
  <si>
    <t>Муниципальное образование Лужское городское поселение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</si>
  <si>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</si>
  <si>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</si>
  <si>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</si>
  <si>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</si>
  <si>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</si>
  <si>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фундамент+фасад</t>
  </si>
  <si>
    <t>кровля</t>
  </si>
  <si>
    <t>Э+ХВС+ГВС+ТС+ВО+ИПУ+пу</t>
  </si>
  <si>
    <t>кирп.</t>
  </si>
  <si>
    <t>7 шт лифты</t>
  </si>
  <si>
    <t>3 шт лифты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</si>
  <si>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</si>
  <si>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</si>
  <si>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</si>
  <si>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</si>
  <si>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</si>
  <si>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</si>
  <si>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Э+ТС+ХВС+ГВС+ВО</t>
  </si>
  <si>
    <t>ХВС+ВО</t>
  </si>
  <si>
    <t>газосекц</t>
  </si>
  <si>
    <t>п.Скреблово д. № 7</t>
  </si>
  <si>
    <t>п.Скреблово д. № 10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</si>
  <si>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</si>
  <si>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</si>
  <si>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</si>
  <si>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</si>
  <si>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</si>
  <si>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</si>
  <si>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</si>
  <si>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</si>
  <si>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</si>
  <si>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</si>
  <si>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гвс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</si>
  <si>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</si>
  <si>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</si>
  <si>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</si>
  <si>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</si>
  <si>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</si>
  <si>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</si>
  <si>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IV. Реестр многоквартирных домов, которые подлежат капитальному ремонту в 2017 году 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</si>
  <si>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</si>
  <si>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</si>
  <si>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</si>
  <si>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>6 лифт</t>
  </si>
  <si>
    <t>фасад+фундамент+хвс</t>
  </si>
  <si>
    <t>2 лифт</t>
  </si>
  <si>
    <t xml:space="preserve">Г. Выборг, бульвар Кутузова, д. 10А  </t>
  </si>
  <si>
    <t>Г. Гатчина, пр.25 Октября, д.50</t>
  </si>
  <si>
    <t>Г. Гатчина, пр.25 Октября, д.63</t>
  </si>
  <si>
    <t>Д.Лопухинка,ул. Первомайская д.11</t>
  </si>
  <si>
    <t>Г. Тихвин, микрорайон 3, д. 15</t>
  </si>
  <si>
    <t>Г. Тихвин, микрорайон 3, д. 16</t>
  </si>
  <si>
    <t>Г. Тихвин, ул. Ленинградская, д. 143</t>
  </si>
  <si>
    <t>Г. Тихвин, микрорайон 4, д. 28</t>
  </si>
  <si>
    <t>Спец счет у РО</t>
  </si>
  <si>
    <t>Муниципальное образование Город Всеволожск</t>
  </si>
  <si>
    <t xml:space="preserve">Г. Всеволожск, ш. Колтушское, д. 78  </t>
  </si>
  <si>
    <t>Волосовский муниципальный район</t>
  </si>
  <si>
    <t>Муниципальное образование Большеврудское сельское поселение</t>
  </si>
  <si>
    <t>Дер. Большая Вруда, д. 4</t>
  </si>
  <si>
    <t>Итого по Волосовскому муниципальному району</t>
  </si>
  <si>
    <t>Всеволожский муниципальный район</t>
  </si>
  <si>
    <t>ССРО</t>
  </si>
  <si>
    <t>обл</t>
  </si>
  <si>
    <t>местн</t>
  </si>
  <si>
    <t>п.Красава, ул. Комсомольская, д. 10а</t>
  </si>
  <si>
    <t>III. Перечень многоквартирных домов, которые подлежат капитальному ремонту в 2017 году с учетом мер государственной поддержки</t>
  </si>
  <si>
    <t>пер. Березовый, д.10</t>
  </si>
  <si>
    <t>пр. Героев, д.14</t>
  </si>
  <si>
    <t>Гатчинский муниципальный район</t>
  </si>
  <si>
    <t>Кингисеппский муниципальный район</t>
  </si>
  <si>
    <t>Муниципальное образование Скребловское сельское поселение</t>
  </si>
  <si>
    <t xml:space="preserve"> Сосновоборский городской округ</t>
  </si>
  <si>
    <t>п. Дятлово, ул. Героев Танкистов, д.7</t>
  </si>
  <si>
    <t xml:space="preserve"> п. Дятлово, ул. Героев Танкистов, д.9</t>
  </si>
  <si>
    <t>г. Луга, пр.Володарского, д.36</t>
  </si>
  <si>
    <t>г. Луга, пр.Кирова, д.45</t>
  </si>
  <si>
    <t>Луга-2, ул.Мелиораторов, д.7</t>
  </si>
  <si>
    <t>Луга-2, ул.Мелиораторов, д.13</t>
  </si>
  <si>
    <t>г. Луга, ул. Победы, д.8</t>
  </si>
  <si>
    <t>п.Красный Маяк, д.14-а</t>
  </si>
  <si>
    <t>п.Красный Маяк, д.14-б</t>
  </si>
  <si>
    <t>п.Красный Маяк, д.14-в</t>
  </si>
  <si>
    <t>п.Красный Маяк, д.5</t>
  </si>
  <si>
    <t>п. Межозерный, д. №6</t>
  </si>
  <si>
    <t>п.Скреблово, д. № 7</t>
  </si>
  <si>
    <t>п.Скреблово, д. № 10</t>
  </si>
  <si>
    <t>п. Громово,  ул.Центральная, д.5</t>
  </si>
  <si>
    <t>п. Коммунары,  ул.Центральная,   д.5</t>
  </si>
  <si>
    <t>Г. Сосновый Бор, ул.Солнечная, д.30</t>
  </si>
  <si>
    <t>Тихвинский муниципальный  район</t>
  </si>
  <si>
    <t>Приозерский муниципальный  район</t>
  </si>
  <si>
    <t>Лужский муниципальный  район</t>
  </si>
  <si>
    <t>Ломоносовскиймуниципальный  район</t>
  </si>
  <si>
    <t>Гатчинский муниципальный  район</t>
  </si>
  <si>
    <t>Выборгский муниципальный район</t>
  </si>
  <si>
    <t>пр. Героев, д.15</t>
  </si>
  <si>
    <t>пр. Героев, д.17</t>
  </si>
  <si>
    <t>ул. Декабристов Бестужевых, д.14</t>
  </si>
  <si>
    <t>ул. Декабристов Бестужевых, д.16</t>
  </si>
  <si>
    <t>Д. Лопухинка, ул. Первомайская д.11</t>
  </si>
  <si>
    <t>п. Громово, ул.Центральная д.5</t>
  </si>
  <si>
    <t>п. Коммунары, ул.Центральная д.5</t>
  </si>
  <si>
    <t>г. Луга, пр.Кирова д.45</t>
  </si>
  <si>
    <t>г. Луга, пр.Володарского д.36</t>
  </si>
  <si>
    <t>30.12.2019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</si>
</sst>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#,###.00"/>
    <numFmt numFmtId="188" formatCode="#,###.00;[Red]\-#,###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8" fillId="33" borderId="2" applyNumberFormat="0" applyAlignment="0" applyProtection="0"/>
    <xf numFmtId="0" fontId="43" fillId="34" borderId="3" applyNumberFormat="0" applyAlignment="0" applyProtection="0"/>
    <xf numFmtId="0" fontId="19" fillId="35" borderId="4" applyNumberFormat="0" applyAlignment="0" applyProtection="0"/>
    <xf numFmtId="0" fontId="44" fillId="34" borderId="1" applyNumberFormat="0" applyAlignment="0" applyProtection="0"/>
    <xf numFmtId="0" fontId="20" fillId="35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47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36" borderId="13" applyNumberFormat="0" applyAlignment="0" applyProtection="0"/>
    <xf numFmtId="0" fontId="25" fillId="37" borderId="14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28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3" fontId="4" fillId="46" borderId="19" xfId="0" applyNumberFormat="1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Alignment="1">
      <alignment/>
    </xf>
    <xf numFmtId="0" fontId="8" fillId="46" borderId="0" xfId="0" applyFont="1" applyFill="1" applyAlignment="1">
      <alignment horizontal="left" vertical="center"/>
    </xf>
    <xf numFmtId="0" fontId="8" fillId="46" borderId="0" xfId="0" applyFont="1" applyFill="1" applyAlignment="1">
      <alignment vertical="center" wrapText="1"/>
    </xf>
    <xf numFmtId="4" fontId="8" fillId="46" borderId="0" xfId="0" applyNumberFormat="1" applyFont="1" applyFill="1" applyAlignment="1">
      <alignment horizontal="right" vertical="center" indent="1"/>
    </xf>
    <xf numFmtId="0" fontId="8" fillId="46" borderId="0" xfId="0" applyFont="1" applyFill="1" applyAlignment="1">
      <alignment horizontal="center" vertical="center" wrapText="1"/>
    </xf>
    <xf numFmtId="3" fontId="8" fillId="46" borderId="19" xfId="0" applyNumberFormat="1" applyFont="1" applyFill="1" applyBorder="1" applyAlignment="1">
      <alignment horizontal="center" vertical="center"/>
    </xf>
    <xf numFmtId="3" fontId="8" fillId="46" borderId="19" xfId="0" applyNumberFormat="1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vertical="center"/>
    </xf>
    <xf numFmtId="4" fontId="7" fillId="46" borderId="0" xfId="0" applyNumberFormat="1" applyFont="1" applyFill="1" applyBorder="1" applyAlignment="1">
      <alignment horizontal="right" vertical="center" wrapText="1" indent="1"/>
    </xf>
    <xf numFmtId="4" fontId="7" fillId="46" borderId="0" xfId="0" applyNumberFormat="1" applyFont="1" applyFill="1" applyBorder="1" applyAlignment="1">
      <alignment horizontal="right" vertical="center" indent="1"/>
    </xf>
    <xf numFmtId="0" fontId="7" fillId="46" borderId="0" xfId="0" applyFont="1" applyFill="1" applyAlignment="1">
      <alignment vertical="center"/>
    </xf>
    <xf numFmtId="0" fontId="4" fillId="46" borderId="0" xfId="0" applyFont="1" applyFill="1" applyAlignment="1">
      <alignment/>
    </xf>
    <xf numFmtId="0" fontId="8" fillId="46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 vertical="center"/>
    </xf>
    <xf numFmtId="2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center" vertical="center"/>
    </xf>
    <xf numFmtId="1" fontId="8" fillId="46" borderId="0" xfId="0" applyNumberFormat="1" applyFont="1" applyFill="1" applyAlignment="1">
      <alignment horizontal="center" vertical="center"/>
    </xf>
    <xf numFmtId="0" fontId="8" fillId="46" borderId="0" xfId="0" applyNumberFormat="1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8" fillId="46" borderId="19" xfId="0" applyFont="1" applyFill="1" applyBorder="1" applyAlignment="1">
      <alignment horizontal="left" vertical="top" wrapText="1"/>
    </xf>
    <xf numFmtId="0" fontId="60" fillId="46" borderId="19" xfId="0" applyFont="1" applyFill="1" applyBorder="1" applyAlignment="1">
      <alignment wrapText="1"/>
    </xf>
    <xf numFmtId="0" fontId="12" fillId="46" borderId="19" xfId="106" applyFont="1" applyFill="1" applyBorder="1" applyAlignment="1" applyProtection="1">
      <alignment vertical="top" wrapText="1"/>
      <protection locked="0"/>
    </xf>
    <xf numFmtId="4" fontId="10" fillId="46" borderId="19" xfId="0" applyNumberFormat="1" applyFont="1" applyFill="1" applyBorder="1" applyAlignment="1">
      <alignment horizontal="center" vertical="center"/>
    </xf>
    <xf numFmtId="0" fontId="12" fillId="46" borderId="19" xfId="106" applyFont="1" applyFill="1" applyBorder="1" applyAlignment="1" applyProtection="1">
      <alignment vertical="top"/>
      <protection locked="0"/>
    </xf>
    <xf numFmtId="4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left" vertical="top"/>
    </xf>
    <xf numFmtId="0" fontId="4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 wrapText="1"/>
    </xf>
    <xf numFmtId="4" fontId="4" fillId="46" borderId="21" xfId="0" applyNumberFormat="1" applyFont="1" applyFill="1" applyBorder="1" applyAlignment="1">
      <alignment horizontal="center" vertical="center" wrapText="1"/>
    </xf>
    <xf numFmtId="1" fontId="4" fillId="46" borderId="20" xfId="0" applyNumberFormat="1" applyFont="1" applyFill="1" applyBorder="1" applyAlignment="1">
      <alignment horizontal="center" vertical="center" wrapText="1"/>
    </xf>
    <xf numFmtId="1" fontId="4" fillId="46" borderId="20" xfId="91" applyNumberFormat="1" applyFont="1" applyFill="1" applyBorder="1" applyAlignment="1" quotePrefix="1">
      <alignment horizontal="center" vertical="center" wrapText="1"/>
      <protection/>
    </xf>
    <xf numFmtId="1" fontId="4" fillId="46" borderId="20" xfId="0" applyNumberFormat="1" applyFont="1" applyFill="1" applyBorder="1" applyAlignment="1">
      <alignment horizontal="center" vertical="center"/>
    </xf>
    <xf numFmtId="3" fontId="4" fillId="46" borderId="20" xfId="0" applyNumberFormat="1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/>
    </xf>
    <xf numFmtId="0" fontId="4" fillId="46" borderId="19" xfId="79" applyFont="1" applyFill="1" applyBorder="1" applyAlignment="1">
      <alignment horizontal="center"/>
      <protection/>
    </xf>
    <xf numFmtId="1" fontId="4" fillId="46" borderId="19" xfId="91" applyNumberFormat="1" applyFont="1" applyFill="1" applyBorder="1" applyAlignment="1" quotePrefix="1">
      <alignment horizontal="center" vertical="center" wrapText="1"/>
      <protection/>
    </xf>
    <xf numFmtId="1" fontId="4" fillId="46" borderId="19" xfId="79" applyNumberFormat="1" applyFont="1" applyFill="1" applyBorder="1" applyAlignment="1">
      <alignment horizontal="center"/>
      <protection/>
    </xf>
    <xf numFmtId="0" fontId="4" fillId="46" borderId="22" xfId="0" applyFont="1" applyFill="1" applyBorder="1" applyAlignment="1">
      <alignment/>
    </xf>
    <xf numFmtId="0" fontId="8" fillId="46" borderId="19" xfId="91" applyFont="1" applyFill="1" applyBorder="1" applyAlignment="1">
      <alignment horizontal="left" vertical="top" wrapText="1"/>
      <protection/>
    </xf>
    <xf numFmtId="4" fontId="9" fillId="46" borderId="19" xfId="0" applyNumberFormat="1" applyFont="1" applyFill="1" applyBorder="1" applyAlignment="1">
      <alignment vertical="center"/>
    </xf>
    <xf numFmtId="0" fontId="4" fillId="46" borderId="19" xfId="0" applyFont="1" applyFill="1" applyBorder="1" applyAlignment="1">
      <alignment vertical="top"/>
    </xf>
    <xf numFmtId="0" fontId="4" fillId="46" borderId="19" xfId="0" applyFont="1" applyFill="1" applyBorder="1" applyAlignment="1">
      <alignment vertical="top" wrapText="1"/>
    </xf>
    <xf numFmtId="0" fontId="8" fillId="46" borderId="19" xfId="86" applyFont="1" applyFill="1" applyBorder="1" applyAlignment="1">
      <alignment horizontal="left" vertical="top" wrapText="1"/>
      <protection/>
    </xf>
    <xf numFmtId="4" fontId="9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center" wrapText="1"/>
      <protection/>
    </xf>
    <xf numFmtId="49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79" applyNumberFormat="1" applyFont="1" applyFill="1" applyBorder="1" applyAlignment="1">
      <alignment horizontal="center" vertical="center"/>
      <protection/>
    </xf>
    <xf numFmtId="3" fontId="4" fillId="46" borderId="19" xfId="0" applyNumberFormat="1" applyFont="1" applyFill="1" applyBorder="1" applyAlignment="1">
      <alignment horizontal="center"/>
    </xf>
    <xf numFmtId="0" fontId="35" fillId="46" borderId="19" xfId="79" applyFont="1" applyFill="1" applyBorder="1" applyAlignment="1">
      <alignment horizontal="center" vertical="center"/>
      <protection/>
    </xf>
    <xf numFmtId="0" fontId="4" fillId="46" borderId="19" xfId="79" applyFont="1" applyFill="1" applyBorder="1" applyAlignment="1">
      <alignment horizontal="center" vertical="center"/>
      <protection/>
    </xf>
    <xf numFmtId="0" fontId="8" fillId="46" borderId="22" xfId="79" applyFont="1" applyFill="1" applyBorder="1" applyAlignment="1">
      <alignment vertical="center" wrapText="1"/>
      <protection/>
    </xf>
    <xf numFmtId="0" fontId="8" fillId="46" borderId="19" xfId="79" applyFont="1" applyFill="1" applyBorder="1" applyAlignment="1">
      <alignment horizontal="left" vertical="center" wrapText="1"/>
      <protection/>
    </xf>
    <xf numFmtId="0" fontId="8" fillId="46" borderId="19" xfId="79" applyFont="1" applyFill="1" applyBorder="1">
      <alignment/>
      <protection/>
    </xf>
    <xf numFmtId="0" fontId="10" fillId="46" borderId="19" xfId="0" applyFont="1" applyFill="1" applyBorder="1" applyAlignment="1">
      <alignment horizontal="left" vertical="center" wrapText="1"/>
    </xf>
    <xf numFmtId="0" fontId="4" fillId="46" borderId="19" xfId="79" applyFont="1" applyFill="1" applyBorder="1">
      <alignment/>
      <protection/>
    </xf>
    <xf numFmtId="0" fontId="8" fillId="46" borderId="19" xfId="86" applyFont="1" applyFill="1" applyBorder="1" applyAlignment="1">
      <alignment vertical="center"/>
      <protection/>
    </xf>
    <xf numFmtId="0" fontId="8" fillId="46" borderId="21" xfId="86" applyFont="1" applyFill="1" applyBorder="1" applyAlignment="1">
      <alignment vertical="center"/>
      <protection/>
    </xf>
    <xf numFmtId="0" fontId="8" fillId="46" borderId="20" xfId="86" applyFont="1" applyFill="1" applyBorder="1" applyAlignment="1">
      <alignment vertical="center"/>
      <protection/>
    </xf>
    <xf numFmtId="0" fontId="9" fillId="46" borderId="0" xfId="0" applyFont="1" applyFill="1" applyAlignment="1">
      <alignment vertical="center"/>
    </xf>
    <xf numFmtId="0" fontId="4" fillId="46" borderId="0" xfId="0" applyFont="1" applyFill="1" applyAlignment="1">
      <alignment vertical="center"/>
    </xf>
    <xf numFmtId="0" fontId="8" fillId="46" borderId="19" xfId="79" applyFont="1" applyFill="1" applyBorder="1" applyAlignment="1">
      <alignment horizontal="left" vertical="top" wrapText="1"/>
      <protection/>
    </xf>
    <xf numFmtId="4" fontId="8" fillId="47" borderId="19" xfId="0" applyNumberFormat="1" applyFont="1" applyFill="1" applyBorder="1" applyAlignment="1">
      <alignment horizontal="center" vertical="center" wrapText="1"/>
    </xf>
    <xf numFmtId="0" fontId="8" fillId="46" borderId="19" xfId="91" applyFont="1" applyFill="1" applyBorder="1" applyAlignment="1">
      <alignment horizontal="left" vertical="center" wrapText="1"/>
      <protection/>
    </xf>
    <xf numFmtId="0" fontId="8" fillId="46" borderId="19" xfId="0" applyFont="1" applyFill="1" applyBorder="1" applyAlignment="1">
      <alignment horizontal="left" wrapText="1"/>
    </xf>
    <xf numFmtId="0" fontId="8" fillId="46" borderId="20" xfId="0" applyFont="1" applyFill="1" applyBorder="1" applyAlignment="1">
      <alignment horizontal="left" wrapText="1"/>
    </xf>
    <xf numFmtId="0" fontId="8" fillId="46" borderId="19" xfId="0" applyFont="1" applyFill="1" applyBorder="1" applyAlignment="1">
      <alignment horizontal="left"/>
    </xf>
    <xf numFmtId="2" fontId="8" fillId="46" borderId="19" xfId="87" applyNumberFormat="1" applyFont="1" applyFill="1" applyBorder="1" applyAlignment="1">
      <alignment horizontal="center" vertical="top" wrapText="1"/>
      <protection/>
    </xf>
    <xf numFmtId="4" fontId="7" fillId="46" borderId="0" xfId="0" applyNumberFormat="1" applyFont="1" applyFill="1" applyBorder="1" applyAlignment="1">
      <alignment horizontal="left" vertical="center"/>
    </xf>
    <xf numFmtId="2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/>
    </xf>
    <xf numFmtId="0" fontId="4" fillId="46" borderId="0" xfId="0" applyFont="1" applyFill="1" applyAlignment="1">
      <alignment horizontal="center" vertical="center"/>
    </xf>
    <xf numFmtId="0" fontId="9" fillId="46" borderId="19" xfId="0" applyFont="1" applyFill="1" applyBorder="1" applyAlignment="1">
      <alignment horizontal="center" vertical="center" wrapText="1"/>
    </xf>
    <xf numFmtId="4" fontId="9" fillId="46" borderId="19" xfId="0" applyNumberFormat="1" applyFont="1" applyFill="1" applyBorder="1" applyAlignment="1">
      <alignment horizontal="center"/>
    </xf>
    <xf numFmtId="0" fontId="61" fillId="46" borderId="19" xfId="0" applyFont="1" applyFill="1" applyBorder="1" applyAlignment="1">
      <alignment/>
    </xf>
    <xf numFmtId="0" fontId="4" fillId="46" borderId="19" xfId="0" applyFont="1" applyFill="1" applyBorder="1" applyAlignment="1">
      <alignment horizontal="center" wrapText="1"/>
    </xf>
    <xf numFmtId="0" fontId="4" fillId="46" borderId="19" xfId="79" applyFont="1" applyFill="1" applyBorder="1" applyAlignment="1">
      <alignment horizontal="left" vertical="center" wrapText="1"/>
      <protection/>
    </xf>
    <xf numFmtId="0" fontId="7" fillId="46" borderId="0" xfId="0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horizontal="center" vertical="center" textRotation="90" wrapText="1"/>
    </xf>
    <xf numFmtId="0" fontId="9" fillId="46" borderId="19" xfId="0" applyFont="1" applyFill="1" applyBorder="1" applyAlignment="1">
      <alignment/>
    </xf>
    <xf numFmtId="0" fontId="9" fillId="46" borderId="22" xfId="0" applyFont="1" applyFill="1" applyBorder="1" applyAlignment="1">
      <alignment/>
    </xf>
    <xf numFmtId="0" fontId="8" fillId="46" borderId="19" xfId="0" applyFont="1" applyFill="1" applyBorder="1" applyAlignment="1">
      <alignment vertical="center" wrapText="1"/>
    </xf>
    <xf numFmtId="0" fontId="9" fillId="46" borderId="19" xfId="0" applyFont="1" applyFill="1" applyBorder="1" applyAlignment="1">
      <alignment vertical="center"/>
    </xf>
    <xf numFmtId="1" fontId="4" fillId="46" borderId="19" xfId="0" applyNumberFormat="1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left" vertical="top" wrapText="1"/>
    </xf>
    <xf numFmtId="0" fontId="8" fillId="46" borderId="0" xfId="0" applyFont="1" applyFill="1" applyAlignment="1">
      <alignment vertical="center"/>
    </xf>
    <xf numFmtId="4" fontId="8" fillId="46" borderId="0" xfId="0" applyNumberFormat="1" applyFont="1" applyFill="1" applyAlignment="1">
      <alignment vertical="center"/>
    </xf>
    <xf numFmtId="4" fontId="8" fillId="46" borderId="0" xfId="0" applyNumberFormat="1" applyFont="1" applyFill="1" applyBorder="1" applyAlignment="1">
      <alignment vertical="center"/>
    </xf>
    <xf numFmtId="1" fontId="8" fillId="46" borderId="19" xfId="0" applyNumberFormat="1" applyFont="1" applyFill="1" applyBorder="1" applyAlignment="1">
      <alignment horizontal="center" vertical="center"/>
    </xf>
    <xf numFmtId="0" fontId="35" fillId="46" borderId="19" xfId="0" applyFont="1" applyFill="1" applyBorder="1" applyAlignment="1">
      <alignment wrapText="1"/>
    </xf>
    <xf numFmtId="0" fontId="35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vertical="center"/>
    </xf>
    <xf numFmtId="3" fontId="4" fillId="46" borderId="19" xfId="0" applyNumberFormat="1" applyFont="1" applyFill="1" applyBorder="1" applyAlignment="1">
      <alignment horizontal="center" vertical="center" wrapText="1"/>
    </xf>
    <xf numFmtId="1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left" vertical="top" wrapText="1"/>
    </xf>
    <xf numFmtId="14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wrapText="1"/>
    </xf>
    <xf numFmtId="0" fontId="4" fillId="46" borderId="19" xfId="0" applyFont="1" applyFill="1" applyBorder="1" applyAlignment="1">
      <alignment horizontal="left" vertical="center" wrapText="1"/>
    </xf>
    <xf numFmtId="0" fontId="4" fillId="46" borderId="19" xfId="0" applyFont="1" applyFill="1" applyBorder="1" applyAlignment="1">
      <alignment horizontal="center"/>
    </xf>
    <xf numFmtId="4" fontId="9" fillId="46" borderId="22" xfId="0" applyNumberFormat="1" applyFont="1" applyFill="1" applyBorder="1" applyAlignment="1">
      <alignment vertical="center"/>
    </xf>
    <xf numFmtId="0" fontId="9" fillId="46" borderId="19" xfId="0" applyFont="1" applyFill="1" applyBorder="1" applyAlignment="1">
      <alignment horizontal="center"/>
    </xf>
    <xf numFmtId="0" fontId="9" fillId="46" borderId="19" xfId="0" applyFont="1" applyFill="1" applyBorder="1" applyAlignment="1">
      <alignment/>
    </xf>
    <xf numFmtId="0" fontId="62" fillId="46" borderId="19" xfId="0" applyFont="1" applyFill="1" applyBorder="1" applyAlignment="1">
      <alignment horizontal="center" vertical="center" wrapText="1"/>
    </xf>
    <xf numFmtId="14" fontId="4" fillId="46" borderId="22" xfId="0" applyNumberFormat="1" applyFont="1" applyFill="1" applyBorder="1" applyAlignment="1">
      <alignment horizontal="center" vertical="center"/>
    </xf>
    <xf numFmtId="4" fontId="9" fillId="46" borderId="19" xfId="0" applyNumberFormat="1" applyFont="1" applyFill="1" applyBorder="1" applyAlignment="1">
      <alignment horizontal="center" vertical="center" wrapText="1"/>
    </xf>
    <xf numFmtId="4" fontId="9" fillId="46" borderId="0" xfId="0" applyNumberFormat="1" applyFont="1" applyFill="1" applyAlignment="1">
      <alignment vertical="center"/>
    </xf>
    <xf numFmtId="4" fontId="7" fillId="46" borderId="0" xfId="0" applyNumberFormat="1" applyFont="1" applyFill="1" applyAlignment="1">
      <alignment horizontal="center" vertical="center"/>
    </xf>
    <xf numFmtId="4" fontId="7" fillId="46" borderId="0" xfId="0" applyNumberFormat="1" applyFont="1" applyFill="1" applyBorder="1" applyAlignment="1">
      <alignment horizontal="center" vertical="center" textRotation="90" wrapText="1"/>
    </xf>
    <xf numFmtId="4" fontId="7" fillId="46" borderId="0" xfId="0" applyNumberFormat="1" applyFont="1" applyFill="1" applyBorder="1" applyAlignment="1">
      <alignment horizontal="center" vertical="center" wrapText="1"/>
    </xf>
    <xf numFmtId="4" fontId="9" fillId="46" borderId="23" xfId="0" applyNumberFormat="1" applyFont="1" applyFill="1" applyBorder="1" applyAlignment="1">
      <alignment horizontal="center" vertical="center"/>
    </xf>
    <xf numFmtId="4" fontId="8" fillId="46" borderId="0" xfId="0" applyNumberFormat="1" applyFont="1" applyFill="1" applyBorder="1" applyAlignment="1">
      <alignment horizontal="center" vertical="center" wrapText="1"/>
    </xf>
    <xf numFmtId="4" fontId="4" fillId="46" borderId="23" xfId="0" applyNumberFormat="1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horizontal="center" vertical="center"/>
    </xf>
    <xf numFmtId="4" fontId="4" fillId="46" borderId="22" xfId="0" applyNumberFormat="1" applyFont="1" applyFill="1" applyBorder="1" applyAlignment="1">
      <alignment vertical="center"/>
    </xf>
    <xf numFmtId="4" fontId="4" fillId="46" borderId="20" xfId="0" applyNumberFormat="1" applyFont="1" applyFill="1" applyBorder="1" applyAlignment="1">
      <alignment horizontal="center" vertical="center"/>
    </xf>
    <xf numFmtId="4" fontId="4" fillId="46" borderId="24" xfId="0" applyNumberFormat="1" applyFont="1" applyFill="1" applyBorder="1" applyAlignment="1">
      <alignment horizontal="center" vertical="center" wrapText="1"/>
    </xf>
    <xf numFmtId="4" fontId="9" fillId="46" borderId="22" xfId="0" applyNumberFormat="1" applyFont="1" applyFill="1" applyBorder="1" applyAlignment="1">
      <alignment horizontal="center" vertical="center"/>
    </xf>
    <xf numFmtId="4" fontId="4" fillId="46" borderId="19" xfId="0" applyNumberFormat="1" applyFont="1" applyFill="1" applyBorder="1" applyAlignment="1">
      <alignment horizontal="center"/>
    </xf>
    <xf numFmtId="0" fontId="4" fillId="46" borderId="19" xfId="91" applyFont="1" applyFill="1" applyBorder="1" applyAlignment="1">
      <alignment horizontal="center" vertical="center" wrapText="1"/>
      <protection/>
    </xf>
    <xf numFmtId="49" fontId="4" fillId="46" borderId="19" xfId="0" applyNumberFormat="1" applyFont="1" applyFill="1" applyBorder="1" applyAlignment="1">
      <alignment horizontal="center" vertical="center"/>
    </xf>
    <xf numFmtId="4" fontId="4" fillId="46" borderId="19" xfId="79" applyNumberFormat="1" applyFont="1" applyFill="1" applyBorder="1" applyAlignment="1">
      <alignment horizontal="center" vertical="center"/>
      <protection/>
    </xf>
    <xf numFmtId="0" fontId="4" fillId="46" borderId="19" xfId="87" applyFont="1" applyFill="1" applyBorder="1" applyAlignment="1">
      <alignment horizontal="center" vertical="top" wrapText="1"/>
      <protection/>
    </xf>
    <xf numFmtId="4" fontId="4" fillId="46" borderId="19" xfId="87" applyNumberFormat="1" applyFont="1" applyFill="1" applyBorder="1" applyAlignment="1">
      <alignment horizontal="center" vertical="top" wrapText="1"/>
      <protection/>
    </xf>
    <xf numFmtId="4" fontId="4" fillId="46" borderId="19" xfId="0" applyNumberFormat="1" applyFont="1" applyFill="1" applyBorder="1" applyAlignment="1" applyProtection="1">
      <alignment horizontal="center" vertical="center"/>
      <protection/>
    </xf>
    <xf numFmtId="4" fontId="63" fillId="46" borderId="19" xfId="0" applyNumberFormat="1" applyFont="1" applyFill="1" applyBorder="1" applyAlignment="1">
      <alignment horizontal="center" vertical="center" wrapText="1"/>
    </xf>
    <xf numFmtId="4" fontId="63" fillId="46" borderId="19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 wrapText="1"/>
    </xf>
    <xf numFmtId="0" fontId="35" fillId="46" borderId="19" xfId="79" applyFont="1" applyFill="1" applyBorder="1" applyAlignment="1">
      <alignment horizontal="center"/>
      <protection/>
    </xf>
    <xf numFmtId="0" fontId="4" fillId="46" borderId="23" xfId="0" applyFont="1" applyFill="1" applyBorder="1" applyAlignment="1">
      <alignment horizontal="center"/>
    </xf>
    <xf numFmtId="4" fontId="4" fillId="46" borderId="22" xfId="0" applyNumberFormat="1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/>
    </xf>
    <xf numFmtId="0" fontId="4" fillId="46" borderId="19" xfId="0" applyFont="1" applyFill="1" applyBorder="1" applyAlignment="1">
      <alignment horizontal="center" vertical="top" wrapText="1"/>
    </xf>
    <xf numFmtId="172" fontId="4" fillId="46" borderId="19" xfId="0" applyNumberFormat="1" applyFont="1" applyFill="1" applyBorder="1" applyAlignment="1">
      <alignment horizontal="center" vertical="top" wrapText="1"/>
    </xf>
    <xf numFmtId="4" fontId="4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top" wrapText="1"/>
      <protection/>
    </xf>
    <xf numFmtId="4" fontId="4" fillId="46" borderId="20" xfId="0" applyNumberFormat="1" applyFont="1" applyFill="1" applyBorder="1" applyAlignment="1">
      <alignment horizontal="center" vertical="center" wrapText="1"/>
    </xf>
    <xf numFmtId="0" fontId="4" fillId="46" borderId="19" xfId="86" applyFont="1" applyFill="1" applyBorder="1" applyAlignment="1">
      <alignment horizontal="center" vertical="center"/>
      <protection/>
    </xf>
    <xf numFmtId="0" fontId="4" fillId="46" borderId="21" xfId="86" applyFont="1" applyFill="1" applyBorder="1" applyAlignment="1">
      <alignment horizontal="center" vertical="center"/>
      <protection/>
    </xf>
    <xf numFmtId="0" fontId="4" fillId="46" borderId="19" xfId="86" applyFont="1" applyFill="1" applyBorder="1" applyAlignment="1">
      <alignment horizontal="center" vertical="top" wrapText="1"/>
      <protection/>
    </xf>
    <xf numFmtId="0" fontId="4" fillId="46" borderId="20" xfId="86" applyFont="1" applyFill="1" applyBorder="1" applyAlignment="1">
      <alignment horizontal="center" vertical="center" wrapText="1"/>
      <protection/>
    </xf>
    <xf numFmtId="0" fontId="4" fillId="46" borderId="0" xfId="0" applyFont="1" applyFill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 wrapText="1"/>
    </xf>
    <xf numFmtId="4" fontId="15" fillId="46" borderId="0" xfId="0" applyNumberFormat="1" applyFont="1" applyFill="1" applyBorder="1" applyAlignment="1">
      <alignment horizontal="center" vertical="center" wrapText="1"/>
    </xf>
    <xf numFmtId="0" fontId="14" fillId="46" borderId="0" xfId="0" applyFont="1" applyFill="1" applyAlignment="1">
      <alignment/>
    </xf>
    <xf numFmtId="1" fontId="14" fillId="46" borderId="19" xfId="0" applyNumberFormat="1" applyFont="1" applyFill="1" applyBorder="1" applyAlignment="1">
      <alignment horizontal="center" vertical="center"/>
    </xf>
    <xf numFmtId="1" fontId="14" fillId="46" borderId="19" xfId="0" applyNumberFormat="1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left" wrapText="1"/>
    </xf>
    <xf numFmtId="0" fontId="10" fillId="46" borderId="20" xfId="0" applyFont="1" applyFill="1" applyBorder="1" applyAlignment="1">
      <alignment horizontal="left" wrapText="1"/>
    </xf>
    <xf numFmtId="0" fontId="10" fillId="46" borderId="19" xfId="0" applyFont="1" applyFill="1" applyBorder="1" applyAlignment="1">
      <alignment horizontal="left"/>
    </xf>
    <xf numFmtId="1" fontId="9" fillId="46" borderId="23" xfId="0" applyNumberFormat="1" applyFont="1" applyFill="1" applyBorder="1" applyAlignment="1">
      <alignment horizontal="center" vertical="center" wrapText="1"/>
    </xf>
    <xf numFmtId="1" fontId="4" fillId="46" borderId="19" xfId="79" applyNumberFormat="1" applyFont="1" applyFill="1" applyBorder="1" applyAlignment="1">
      <alignment horizontal="center" vertical="center"/>
      <protection/>
    </xf>
    <xf numFmtId="1" fontId="9" fillId="46" borderId="19" xfId="0" applyNumberFormat="1" applyFont="1" applyFill="1" applyBorder="1" applyAlignment="1">
      <alignment horizontal="center" vertical="center"/>
    </xf>
    <xf numFmtId="1" fontId="4" fillId="46" borderId="19" xfId="87" applyNumberFormat="1" applyFont="1" applyFill="1" applyBorder="1" applyAlignment="1">
      <alignment horizontal="center" vertical="top" wrapText="1"/>
      <protection/>
    </xf>
    <xf numFmtId="1" fontId="4" fillId="46" borderId="19" xfId="79" applyNumberFormat="1" applyFont="1" applyFill="1" applyBorder="1" applyAlignment="1">
      <alignment horizontal="center" vertical="center" wrapText="1"/>
      <protection/>
    </xf>
    <xf numFmtId="1" fontId="63" fillId="46" borderId="19" xfId="0" applyNumberFormat="1" applyFont="1" applyFill="1" applyBorder="1" applyAlignment="1">
      <alignment horizontal="center" vertical="center"/>
    </xf>
    <xf numFmtId="1" fontId="9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 vertical="top" wrapText="1"/>
    </xf>
    <xf numFmtId="1" fontId="4" fillId="46" borderId="21" xfId="0" applyNumberFormat="1" applyFont="1" applyFill="1" applyBorder="1" applyAlignment="1">
      <alignment horizontal="center" vertical="center" wrapText="1"/>
    </xf>
    <xf numFmtId="1" fontId="4" fillId="46" borderId="23" xfId="0" applyNumberFormat="1" applyFont="1" applyFill="1" applyBorder="1" applyAlignment="1">
      <alignment horizontal="center"/>
    </xf>
    <xf numFmtId="1" fontId="4" fillId="46" borderId="23" xfId="0" applyNumberFormat="1" applyFont="1" applyFill="1" applyBorder="1" applyAlignment="1">
      <alignment horizontal="center" vertical="center"/>
    </xf>
    <xf numFmtId="1" fontId="4" fillId="46" borderId="19" xfId="79" applyNumberFormat="1" applyFont="1" applyFill="1" applyBorder="1" applyAlignment="1">
      <alignment horizontal="center" vertical="top" wrapText="1"/>
      <protection/>
    </xf>
    <xf numFmtId="1" fontId="9" fillId="46" borderId="23" xfId="0" applyNumberFormat="1" applyFont="1" applyFill="1" applyBorder="1" applyAlignment="1">
      <alignment horizontal="center"/>
    </xf>
    <xf numFmtId="1" fontId="9" fillId="46" borderId="23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wrapText="1"/>
    </xf>
    <xf numFmtId="1" fontId="4" fillId="46" borderId="19" xfId="86" applyNumberFormat="1" applyFont="1" applyFill="1" applyBorder="1" applyAlignment="1">
      <alignment horizontal="center" vertical="center"/>
      <protection/>
    </xf>
    <xf numFmtId="1" fontId="4" fillId="46" borderId="21" xfId="86" applyNumberFormat="1" applyFont="1" applyFill="1" applyBorder="1" applyAlignment="1">
      <alignment horizontal="center" vertical="center"/>
      <protection/>
    </xf>
    <xf numFmtId="1" fontId="4" fillId="46" borderId="19" xfId="86" applyNumberFormat="1" applyFont="1" applyFill="1" applyBorder="1" applyAlignment="1">
      <alignment horizontal="center" vertical="top" wrapText="1"/>
      <protection/>
    </xf>
    <xf numFmtId="1" fontId="4" fillId="46" borderId="20" xfId="86" applyNumberFormat="1" applyFont="1" applyFill="1" applyBorder="1" applyAlignment="1">
      <alignment horizontal="center" vertical="center" wrapText="1"/>
      <protection/>
    </xf>
    <xf numFmtId="1" fontId="4" fillId="46" borderId="0" xfId="0" applyNumberFormat="1" applyFont="1" applyFill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1" fontId="8" fillId="46" borderId="19" xfId="0" applyNumberFormat="1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center"/>
    </xf>
    <xf numFmtId="4" fontId="8" fillId="46" borderId="0" xfId="0" applyNumberFormat="1" applyFont="1" applyFill="1" applyAlignment="1">
      <alignment/>
    </xf>
    <xf numFmtId="4" fontId="8" fillId="46" borderId="19" xfId="0" applyNumberFormat="1" applyFont="1" applyFill="1" applyBorder="1" applyAlignment="1">
      <alignment horizontal="center"/>
    </xf>
    <xf numFmtId="0" fontId="8" fillId="46" borderId="19" xfId="0" applyFont="1" applyFill="1" applyBorder="1" applyAlignment="1">
      <alignment horizontal="center"/>
    </xf>
    <xf numFmtId="3" fontId="8" fillId="46" borderId="19" xfId="0" applyNumberFormat="1" applyFont="1" applyFill="1" applyBorder="1" applyAlignment="1">
      <alignment horizontal="center"/>
    </xf>
    <xf numFmtId="0" fontId="8" fillId="46" borderId="19" xfId="106" applyFont="1" applyFill="1" applyBorder="1" applyAlignment="1" applyProtection="1">
      <alignment vertical="top"/>
      <protection locked="0"/>
    </xf>
    <xf numFmtId="0" fontId="8" fillId="46" borderId="19" xfId="106" applyFont="1" applyFill="1" applyBorder="1" applyAlignment="1" applyProtection="1">
      <alignment vertical="top" wrapText="1"/>
      <protection locked="0"/>
    </xf>
    <xf numFmtId="0" fontId="7" fillId="46" borderId="0" xfId="0" applyFont="1" applyFill="1" applyAlignment="1">
      <alignment horizontal="center" vertical="center"/>
    </xf>
    <xf numFmtId="4" fontId="8" fillId="46" borderId="19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0" fillId="46" borderId="19" xfId="79" applyFont="1" applyFill="1" applyBorder="1" applyAlignment="1">
      <alignment horizontal="left" vertical="center"/>
      <protection/>
    </xf>
    <xf numFmtId="0" fontId="4" fillId="46" borderId="0" xfId="0" applyFont="1" applyFill="1" applyAlignment="1">
      <alignment wrapText="1"/>
    </xf>
    <xf numFmtId="0" fontId="8" fillId="46" borderId="19" xfId="0" applyFont="1" applyFill="1" applyBorder="1" applyAlignment="1">
      <alignment horizontal="left" vertical="center" wrapText="1"/>
    </xf>
    <xf numFmtId="2" fontId="8" fillId="46" borderId="19" xfId="79" applyNumberFormat="1" applyFont="1" applyFill="1" applyBorder="1" applyAlignment="1">
      <alignment horizontal="center" vertical="top" wrapText="1"/>
      <protection/>
    </xf>
    <xf numFmtId="2" fontId="14" fillId="46" borderId="19" xfId="0" applyNumberFormat="1" applyFont="1" applyFill="1" applyBorder="1" applyAlignment="1">
      <alignment horizontal="center" vertical="center" wrapText="1"/>
    </xf>
    <xf numFmtId="0" fontId="8" fillId="46" borderId="20" xfId="86" applyFont="1" applyFill="1" applyBorder="1" applyAlignment="1">
      <alignment vertical="center" wrapText="1"/>
      <protection/>
    </xf>
    <xf numFmtId="4" fontId="8" fillId="47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 wrapText="1"/>
    </xf>
    <xf numFmtId="0" fontId="6" fillId="46" borderId="19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/>
    </xf>
    <xf numFmtId="14" fontId="12" fillId="46" borderId="19" xfId="0" applyNumberFormat="1" applyFont="1" applyFill="1" applyBorder="1" applyAlignment="1">
      <alignment horizontal="center" vertical="center" wrapText="1"/>
    </xf>
    <xf numFmtId="1" fontId="4" fillId="46" borderId="19" xfId="91" applyNumberFormat="1" applyFont="1" applyFill="1" applyBorder="1" applyAlignment="1" quotePrefix="1">
      <alignment horizontal="center" vertical="center"/>
      <protection/>
    </xf>
    <xf numFmtId="1" fontId="4" fillId="46" borderId="19" xfId="91" applyNumberFormat="1" applyFont="1" applyFill="1" applyBorder="1" applyAlignment="1">
      <alignment horizontal="center" vertical="center" wrapText="1"/>
      <protection/>
    </xf>
    <xf numFmtId="0" fontId="4" fillId="46" borderId="19" xfId="0" applyFont="1" applyFill="1" applyBorder="1" applyAlignment="1">
      <alignment horizontal="center" vertical="center"/>
    </xf>
    <xf numFmtId="2" fontId="10" fillId="46" borderId="19" xfId="79" applyNumberFormat="1" applyFont="1" applyFill="1" applyBorder="1" applyAlignment="1">
      <alignment horizontal="center" vertical="center"/>
      <protection/>
    </xf>
    <xf numFmtId="2" fontId="7" fillId="46" borderId="19" xfId="0" applyNumberFormat="1" applyFont="1" applyFill="1" applyBorder="1" applyAlignment="1">
      <alignment horizontal="center" vertical="center"/>
    </xf>
    <xf numFmtId="2" fontId="7" fillId="46" borderId="23" xfId="0" applyNumberFormat="1" applyFont="1" applyFill="1" applyBorder="1" applyAlignment="1">
      <alignment horizontal="center" vertical="center" wrapText="1"/>
    </xf>
    <xf numFmtId="2" fontId="7" fillId="46" borderId="23" xfId="0" applyNumberFormat="1" applyFont="1" applyFill="1" applyBorder="1" applyAlignment="1">
      <alignment horizontal="center" vertical="center"/>
    </xf>
    <xf numFmtId="2" fontId="8" fillId="46" borderId="20" xfId="0" applyNumberFormat="1" applyFont="1" applyFill="1" applyBorder="1" applyAlignment="1">
      <alignment horizontal="center" vertical="center"/>
    </xf>
    <xf numFmtId="2" fontId="10" fillId="46" borderId="19" xfId="0" applyNumberFormat="1" applyFont="1" applyFill="1" applyBorder="1" applyAlignment="1">
      <alignment horizontal="center" vertical="center"/>
    </xf>
    <xf numFmtId="2" fontId="8" fillId="47" borderId="19" xfId="0" applyNumberFormat="1" applyFont="1" applyFill="1" applyBorder="1" applyAlignment="1">
      <alignment horizontal="center" vertical="center" wrapText="1"/>
    </xf>
    <xf numFmtId="2" fontId="8" fillId="46" borderId="0" xfId="149" applyNumberFormat="1" applyFont="1" applyFill="1" applyBorder="1" applyAlignment="1">
      <alignment horizontal="center" vertical="center" wrapText="1"/>
      <protection/>
    </xf>
    <xf numFmtId="2" fontId="7" fillId="46" borderId="19" xfId="97" applyNumberFormat="1" applyFont="1" applyFill="1" applyBorder="1" applyAlignment="1">
      <alignment horizontal="center" vertical="center"/>
      <protection/>
    </xf>
    <xf numFmtId="2" fontId="8" fillId="46" borderId="0" xfId="0" applyNumberFormat="1" applyFont="1" applyFill="1" applyAlignment="1">
      <alignment horizontal="right" vertical="center" indent="1"/>
    </xf>
    <xf numFmtId="2" fontId="4" fillId="46" borderId="19" xfId="0" applyNumberFormat="1" applyFont="1" applyFill="1" applyBorder="1" applyAlignment="1">
      <alignment horizontal="center" vertical="center" wrapText="1"/>
    </xf>
    <xf numFmtId="2" fontId="8" fillId="46" borderId="19" xfId="81" applyNumberFormat="1" applyFont="1" applyFill="1" applyBorder="1" applyAlignment="1">
      <alignment horizontal="center" vertical="center"/>
      <protection/>
    </xf>
    <xf numFmtId="2" fontId="8" fillId="46" borderId="19" xfId="0" applyNumberFormat="1" applyFont="1" applyFill="1" applyBorder="1" applyAlignment="1">
      <alignment horizontal="right" vertical="center"/>
    </xf>
    <xf numFmtId="2" fontId="4" fillId="46" borderId="19" xfId="0" applyNumberFormat="1" applyFont="1" applyFill="1" applyBorder="1" applyAlignment="1">
      <alignment/>
    </xf>
    <xf numFmtId="2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156" applyNumberFormat="1" applyFont="1" applyFill="1" applyBorder="1" applyAlignment="1">
      <alignment horizontal="center" vertical="center"/>
    </xf>
    <xf numFmtId="2" fontId="7" fillId="46" borderId="22" xfId="0" applyNumberFormat="1" applyFont="1" applyFill="1" applyBorder="1" applyAlignment="1">
      <alignment horizontal="center" vertical="center" wrapText="1"/>
    </xf>
    <xf numFmtId="2" fontId="8" fillId="46" borderId="19" xfId="79" applyNumberFormat="1" applyFont="1" applyFill="1" applyBorder="1" applyAlignment="1">
      <alignment horizontal="center" vertical="center"/>
      <protection/>
    </xf>
    <xf numFmtId="2" fontId="8" fillId="46" borderId="19" xfId="79" applyNumberFormat="1" applyFont="1" applyFill="1" applyBorder="1" applyAlignment="1">
      <alignment horizontal="right" vertical="center"/>
      <protection/>
    </xf>
    <xf numFmtId="2" fontId="8" fillId="46" borderId="19" xfId="0" applyNumberFormat="1" applyFont="1" applyFill="1" applyBorder="1" applyAlignment="1">
      <alignment vertical="center"/>
    </xf>
    <xf numFmtId="2" fontId="8" fillId="46" borderId="22" xfId="0" applyNumberFormat="1" applyFont="1" applyFill="1" applyBorder="1" applyAlignment="1">
      <alignment horizontal="center" vertical="center"/>
    </xf>
    <xf numFmtId="2" fontId="12" fillId="46" borderId="0" xfId="0" applyNumberFormat="1" applyFont="1" applyFill="1" applyAlignment="1">
      <alignment/>
    </xf>
    <xf numFmtId="2" fontId="10" fillId="46" borderId="19" xfId="0" applyNumberFormat="1" applyFont="1" applyFill="1" applyBorder="1" applyAlignment="1">
      <alignment horizontal="center" vertical="center" wrapText="1"/>
    </xf>
    <xf numFmtId="2" fontId="13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/>
    </xf>
    <xf numFmtId="2" fontId="10" fillId="46" borderId="19" xfId="0" applyNumberFormat="1" applyFont="1" applyFill="1" applyBorder="1" applyAlignment="1">
      <alignment horizontal="left" vertical="center"/>
    </xf>
    <xf numFmtId="2" fontId="8" fillId="46" borderId="19" xfId="0" applyNumberFormat="1" applyFont="1" applyFill="1" applyBorder="1" applyAlignment="1">
      <alignment vertical="center" wrapText="1"/>
    </xf>
    <xf numFmtId="2" fontId="4" fillId="46" borderId="19" xfId="0" applyNumberFormat="1" applyFont="1" applyFill="1" applyBorder="1" applyAlignment="1">
      <alignment horizontal="center"/>
    </xf>
    <xf numFmtId="2" fontId="12" fillId="46" borderId="19" xfId="79" applyNumberFormat="1" applyFont="1" applyFill="1" applyBorder="1" applyAlignment="1">
      <alignment horizontal="center" vertical="top" wrapText="1"/>
      <protection/>
    </xf>
    <xf numFmtId="2" fontId="4" fillId="46" borderId="19" xfId="0" applyNumberFormat="1" applyFont="1" applyFill="1" applyBorder="1" applyAlignment="1">
      <alignment horizontal="center" wrapText="1"/>
    </xf>
    <xf numFmtId="2" fontId="8" fillId="46" borderId="19" xfId="0" applyNumberFormat="1" applyFont="1" applyFill="1" applyBorder="1" applyAlignment="1" applyProtection="1">
      <alignment horizontal="center" vertical="center"/>
      <protection/>
    </xf>
    <xf numFmtId="2" fontId="8" fillId="46" borderId="19" xfId="97" applyNumberFormat="1" applyFont="1" applyFill="1" applyBorder="1" applyAlignment="1">
      <alignment horizontal="center" vertical="center"/>
      <protection/>
    </xf>
    <xf numFmtId="2" fontId="4" fillId="46" borderId="19" xfId="79" applyNumberFormat="1" applyFont="1" applyFill="1" applyBorder="1" applyAlignment="1">
      <alignment horizontal="center"/>
      <protection/>
    </xf>
    <xf numFmtId="2" fontId="8" fillId="46" borderId="19" xfId="81" applyNumberFormat="1" applyFont="1" applyFill="1" applyBorder="1" applyAlignment="1" applyProtection="1">
      <alignment horizontal="center" vertical="center"/>
      <protection/>
    </xf>
    <xf numFmtId="2" fontId="8" fillId="46" borderId="19" xfId="86" applyNumberFormat="1" applyFont="1" applyFill="1" applyBorder="1" applyAlignment="1">
      <alignment horizontal="center"/>
      <protection/>
    </xf>
    <xf numFmtId="2" fontId="8" fillId="46" borderId="21" xfId="86" applyNumberFormat="1" applyFont="1" applyFill="1" applyBorder="1" applyAlignment="1">
      <alignment horizontal="center"/>
      <protection/>
    </xf>
    <xf numFmtId="2" fontId="8" fillId="46" borderId="19" xfId="86" applyNumberFormat="1" applyFont="1" applyFill="1" applyBorder="1" applyAlignment="1">
      <alignment horizontal="center" vertical="center" wrapText="1"/>
      <protection/>
    </xf>
    <xf numFmtId="2" fontId="8" fillId="46" borderId="19" xfId="86" applyNumberFormat="1" applyFont="1" applyFill="1" applyBorder="1" applyAlignment="1">
      <alignment horizontal="center" vertical="top" wrapText="1"/>
      <protection/>
    </xf>
    <xf numFmtId="2" fontId="8" fillId="46" borderId="20" xfId="86" applyNumberFormat="1" applyFont="1" applyFill="1" applyBorder="1" applyAlignment="1">
      <alignment horizontal="center" vertical="center" wrapText="1"/>
      <protection/>
    </xf>
    <xf numFmtId="3" fontId="7" fillId="46" borderId="24" xfId="0" applyNumberFormat="1" applyFont="1" applyFill="1" applyBorder="1" applyAlignment="1">
      <alignment vertical="center"/>
    </xf>
    <xf numFmtId="3" fontId="7" fillId="46" borderId="23" xfId="0" applyNumberFormat="1" applyFont="1" applyFill="1" applyBorder="1" applyAlignment="1">
      <alignment vertical="center"/>
    </xf>
    <xf numFmtId="4" fontId="8" fillId="46" borderId="22" xfId="0" applyNumberFormat="1" applyFont="1" applyFill="1" applyBorder="1" applyAlignment="1">
      <alignment vertical="center" wrapText="1"/>
    </xf>
    <xf numFmtId="2" fontId="7" fillId="46" borderId="22" xfId="0" applyNumberFormat="1" applyFont="1" applyFill="1" applyBorder="1" applyAlignment="1">
      <alignment vertical="center"/>
    </xf>
    <xf numFmtId="2" fontId="8" fillId="46" borderId="24" xfId="0" applyNumberFormat="1" applyFont="1" applyFill="1" applyBorder="1" applyAlignment="1">
      <alignment vertical="center" wrapText="1"/>
    </xf>
    <xf numFmtId="2" fontId="8" fillId="46" borderId="23" xfId="0" applyNumberFormat="1" applyFont="1" applyFill="1" applyBorder="1" applyAlignment="1">
      <alignment vertical="center" wrapText="1"/>
    </xf>
    <xf numFmtId="2" fontId="8" fillId="46" borderId="19" xfId="0" applyNumberFormat="1" applyFont="1" applyFill="1" applyBorder="1" applyAlignment="1">
      <alignment horizontal="right" vertical="center" indent="1"/>
    </xf>
    <xf numFmtId="2" fontId="4" fillId="46" borderId="0" xfId="0" applyNumberFormat="1" applyFont="1" applyFill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2" fontId="64" fillId="46" borderId="19" xfId="79" applyNumberFormat="1" applyFont="1" applyFill="1" applyBorder="1" applyAlignment="1">
      <alignment horizontal="right" vertical="center"/>
      <protection/>
    </xf>
    <xf numFmtId="2" fontId="9" fillId="46" borderId="23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/>
    </xf>
    <xf numFmtId="2" fontId="4" fillId="46" borderId="23" xfId="0" applyNumberFormat="1" applyFont="1" applyFill="1" applyBorder="1" applyAlignment="1">
      <alignment horizontal="center"/>
    </xf>
    <xf numFmtId="2" fontId="4" fillId="46" borderId="19" xfId="0" applyNumberFormat="1" applyFont="1" applyFill="1" applyBorder="1" applyAlignment="1">
      <alignment horizontal="center" vertical="top" wrapText="1"/>
    </xf>
    <xf numFmtId="2" fontId="4" fillId="46" borderId="21" xfId="0" applyNumberFormat="1" applyFont="1" applyFill="1" applyBorder="1" applyAlignment="1">
      <alignment horizontal="center" vertical="center" wrapText="1"/>
    </xf>
    <xf numFmtId="2" fontId="9" fillId="46" borderId="21" xfId="0" applyNumberFormat="1" applyFont="1" applyFill="1" applyBorder="1" applyAlignment="1">
      <alignment horizontal="center" vertical="center" wrapText="1"/>
    </xf>
    <xf numFmtId="2" fontId="4" fillId="46" borderId="23" xfId="0" applyNumberFormat="1" applyFont="1" applyFill="1" applyBorder="1" applyAlignment="1">
      <alignment horizontal="center" vertical="center"/>
    </xf>
    <xf numFmtId="2" fontId="4" fillId="46" borderId="19" xfId="79" applyNumberFormat="1" applyFont="1" applyFill="1" applyBorder="1" applyAlignment="1">
      <alignment horizontal="center" vertical="top" wrapText="1"/>
      <protection/>
    </xf>
    <xf numFmtId="2" fontId="9" fillId="46" borderId="20" xfId="0" applyNumberFormat="1" applyFont="1" applyFill="1" applyBorder="1" applyAlignment="1">
      <alignment horizontal="center" vertical="center"/>
    </xf>
    <xf numFmtId="2" fontId="4" fillId="46" borderId="20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/>
    </xf>
    <xf numFmtId="2" fontId="35" fillId="46" borderId="19" xfId="0" applyNumberFormat="1" applyFont="1" applyFill="1" applyBorder="1" applyAlignment="1">
      <alignment horizontal="center"/>
    </xf>
    <xf numFmtId="2" fontId="4" fillId="46" borderId="19" xfId="86" applyNumberFormat="1" applyFont="1" applyFill="1" applyBorder="1" applyAlignment="1">
      <alignment horizontal="center"/>
      <protection/>
    </xf>
    <xf numFmtId="2" fontId="4" fillId="46" borderId="19" xfId="91" applyNumberFormat="1" applyFont="1" applyFill="1" applyBorder="1" applyAlignment="1">
      <alignment horizontal="center" vertical="center" wrapText="1"/>
      <protection/>
    </xf>
    <xf numFmtId="1" fontId="60" fillId="46" borderId="19" xfId="0" applyNumberFormat="1" applyFont="1" applyFill="1" applyBorder="1" applyAlignment="1">
      <alignment horizontal="center" vertical="center"/>
    </xf>
    <xf numFmtId="171" fontId="8" fillId="46" borderId="19" xfId="15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left" vertical="center"/>
    </xf>
    <xf numFmtId="4" fontId="7" fillId="46" borderId="22" xfId="0" applyNumberFormat="1" applyFont="1" applyFill="1" applyBorder="1" applyAlignment="1">
      <alignment horizontal="center" vertical="center" wrapText="1"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8" fillId="46" borderId="19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horizontal="left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8" fillId="46" borderId="24" xfId="0" applyNumberFormat="1" applyFont="1" applyFill="1" applyBorder="1" applyAlignment="1">
      <alignment horizontal="left" vertical="center"/>
    </xf>
    <xf numFmtId="4" fontId="8" fillId="46" borderId="22" xfId="0" applyNumberFormat="1" applyFont="1" applyFill="1" applyBorder="1" applyAlignment="1">
      <alignment horizontal="left" vertical="center"/>
    </xf>
    <xf numFmtId="2" fontId="8" fillId="46" borderId="21" xfId="0" applyNumberFormat="1" applyFont="1" applyFill="1" applyBorder="1" applyAlignment="1">
      <alignment horizontal="center" vertical="center" wrapText="1"/>
    </xf>
    <xf numFmtId="2" fontId="8" fillId="46" borderId="25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2" fontId="8" fillId="46" borderId="26" xfId="0" applyNumberFormat="1" applyFont="1" applyFill="1" applyBorder="1" applyAlignment="1">
      <alignment horizontal="center" vertical="center" wrapText="1"/>
    </xf>
    <xf numFmtId="2" fontId="8" fillId="46" borderId="27" xfId="0" applyNumberFormat="1" applyFont="1" applyFill="1" applyBorder="1" applyAlignment="1">
      <alignment horizontal="center" vertical="center" wrapText="1"/>
    </xf>
    <xf numFmtId="2" fontId="8" fillId="46" borderId="28" xfId="0" applyNumberFormat="1" applyFont="1" applyFill="1" applyBorder="1" applyAlignment="1">
      <alignment horizontal="center" vertical="center" wrapText="1"/>
    </xf>
    <xf numFmtId="2" fontId="8" fillId="46" borderId="29" xfId="0" applyNumberFormat="1" applyFont="1" applyFill="1" applyBorder="1" applyAlignment="1">
      <alignment horizontal="center" vertical="center" wrapText="1"/>
    </xf>
    <xf numFmtId="2" fontId="8" fillId="46" borderId="30" xfId="0" applyNumberFormat="1" applyFont="1" applyFill="1" applyBorder="1" applyAlignment="1">
      <alignment horizontal="center" vertical="center" wrapText="1"/>
    </xf>
    <xf numFmtId="2" fontId="8" fillId="46" borderId="31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1" fontId="8" fillId="46" borderId="21" xfId="0" applyNumberFormat="1" applyFont="1" applyFill="1" applyBorder="1" applyAlignment="1">
      <alignment horizontal="center" vertical="center" wrapText="1"/>
    </xf>
    <xf numFmtId="1" fontId="8" fillId="46" borderId="25" xfId="0" applyNumberFormat="1" applyFont="1" applyFill="1" applyBorder="1" applyAlignment="1">
      <alignment horizontal="center" vertical="center" wrapText="1"/>
    </xf>
    <xf numFmtId="1" fontId="8" fillId="46" borderId="20" xfId="0" applyNumberFormat="1" applyFont="1" applyFill="1" applyBorder="1" applyAlignment="1">
      <alignment horizontal="center" vertical="center" wrapText="1"/>
    </xf>
    <xf numFmtId="0" fontId="8" fillId="46" borderId="21" xfId="0" applyNumberFormat="1" applyFont="1" applyFill="1" applyBorder="1" applyAlignment="1">
      <alignment horizontal="center" vertical="center" wrapText="1"/>
    </xf>
    <xf numFmtId="0" fontId="8" fillId="46" borderId="25" xfId="0" applyNumberFormat="1" applyFont="1" applyFill="1" applyBorder="1" applyAlignment="1">
      <alignment horizontal="center" vertical="center" wrapText="1"/>
    </xf>
    <xf numFmtId="0" fontId="8" fillId="46" borderId="20" xfId="0" applyNumberFormat="1" applyFont="1" applyFill="1" applyBorder="1" applyAlignment="1">
      <alignment horizontal="center" vertical="center" wrapText="1"/>
    </xf>
    <xf numFmtId="0" fontId="8" fillId="46" borderId="24" xfId="0" applyNumberFormat="1" applyFont="1" applyFill="1" applyBorder="1" applyAlignment="1">
      <alignment horizontal="center" vertical="center"/>
    </xf>
    <xf numFmtId="0" fontId="8" fillId="46" borderId="23" xfId="0" applyNumberFormat="1" applyFont="1" applyFill="1" applyBorder="1" applyAlignment="1">
      <alignment horizontal="center" vertical="center"/>
    </xf>
    <xf numFmtId="0" fontId="8" fillId="46" borderId="22" xfId="0" applyNumberFormat="1" applyFont="1" applyFill="1" applyBorder="1" applyAlignment="1">
      <alignment horizontal="center" vertical="center"/>
    </xf>
    <xf numFmtId="2" fontId="8" fillId="46" borderId="24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3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left" vertical="center"/>
    </xf>
    <xf numFmtId="0" fontId="7" fillId="46" borderId="23" xfId="0" applyFont="1" applyFill="1" applyBorder="1" applyAlignment="1">
      <alignment horizontal="left" vertical="center"/>
    </xf>
    <xf numFmtId="0" fontId="7" fillId="46" borderId="22" xfId="0" applyFont="1" applyFill="1" applyBorder="1" applyAlignment="1">
      <alignment horizontal="left" vertical="center"/>
    </xf>
    <xf numFmtId="4" fontId="7" fillId="46" borderId="24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/>
    </xf>
    <xf numFmtId="0" fontId="4" fillId="46" borderId="22" xfId="0" applyFont="1" applyFill="1" applyBorder="1" applyAlignment="1">
      <alignment vertical="center"/>
    </xf>
    <xf numFmtId="4" fontId="7" fillId="46" borderId="19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/>
    </xf>
    <xf numFmtId="4" fontId="8" fillId="46" borderId="20" xfId="0" applyNumberFormat="1" applyFont="1" applyFill="1" applyBorder="1" applyAlignment="1">
      <alignment horizontal="left" vertical="center"/>
    </xf>
    <xf numFmtId="4" fontId="7" fillId="46" borderId="24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left" vertical="center"/>
    </xf>
    <xf numFmtId="4" fontId="7" fillId="46" borderId="19" xfId="97" applyNumberFormat="1" applyFont="1" applyFill="1" applyBorder="1" applyAlignment="1">
      <alignment horizontal="left" vertical="center"/>
      <protection/>
    </xf>
    <xf numFmtId="4" fontId="7" fillId="46" borderId="19" xfId="97" applyNumberFormat="1" applyFont="1" applyFill="1" applyBorder="1" applyAlignment="1">
      <alignment horizontal="center" vertical="center"/>
      <protection/>
    </xf>
    <xf numFmtId="0" fontId="8" fillId="46" borderId="19" xfId="0" applyFont="1" applyFill="1" applyBorder="1" applyAlignment="1">
      <alignment horizontal="left" vertical="center"/>
    </xf>
    <xf numFmtId="0" fontId="9" fillId="46" borderId="24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4" fontId="8" fillId="46" borderId="20" xfId="0" applyNumberFormat="1" applyFont="1" applyFill="1" applyBorder="1" applyAlignment="1">
      <alignment horizontal="left" vertical="center" wrapText="1"/>
    </xf>
    <xf numFmtId="0" fontId="9" fillId="46" borderId="19" xfId="0" applyFont="1" applyFill="1" applyBorder="1" applyAlignment="1">
      <alignment horizontal="center" vertical="center"/>
    </xf>
    <xf numFmtId="0" fontId="9" fillId="46" borderId="24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left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textRotation="90" wrapText="1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1" fontId="4" fillId="46" borderId="19" xfId="0" applyNumberFormat="1" applyFont="1" applyFill="1" applyBorder="1" applyAlignment="1">
      <alignment horizontal="center" vertical="center" textRotation="90" wrapText="1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/>
    </xf>
    <xf numFmtId="2" fontId="4" fillId="46" borderId="19" xfId="0" applyNumberFormat="1" applyFont="1" applyFill="1" applyBorder="1" applyAlignment="1">
      <alignment horizontal="center" vertical="center" wrapText="1"/>
    </xf>
    <xf numFmtId="0" fontId="4" fillId="46" borderId="19" xfId="91" applyFont="1" applyFill="1" applyBorder="1" applyAlignment="1">
      <alignment horizontal="center" vertical="center" textRotation="90" wrapText="1"/>
      <protection/>
    </xf>
    <xf numFmtId="2" fontId="4" fillId="46" borderId="19" xfId="91" applyNumberFormat="1" applyFont="1" applyFill="1" applyBorder="1" applyAlignment="1">
      <alignment horizontal="center" vertical="center" textRotation="90" wrapText="1"/>
      <protection/>
    </xf>
    <xf numFmtId="0" fontId="9" fillId="46" borderId="24" xfId="0" applyFont="1" applyFill="1" applyBorder="1" applyAlignment="1">
      <alignment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7" fillId="46" borderId="24" xfId="0" applyFont="1" applyFill="1" applyBorder="1" applyAlignment="1">
      <alignment horizontal="left" vertical="center" wrapText="1"/>
    </xf>
    <xf numFmtId="0" fontId="7" fillId="46" borderId="23" xfId="0" applyFont="1" applyFill="1" applyBorder="1" applyAlignment="1">
      <alignment horizontal="left" vertical="center" wrapText="1"/>
    </xf>
    <xf numFmtId="0" fontId="7" fillId="46" borderId="22" xfId="0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4" fontId="8" fillId="46" borderId="24" xfId="0" applyNumberFormat="1" applyFont="1" applyFill="1" applyBorder="1" applyAlignment="1">
      <alignment horizontal="left" vertical="center" wrapText="1"/>
    </xf>
    <xf numFmtId="4" fontId="8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23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2" xfId="65"/>
    <cellStyle name="Заголовок 2 2" xfId="66"/>
    <cellStyle name="Заголовок 3" xfId="67"/>
    <cellStyle name="Заголовок 3 2" xfId="68"/>
    <cellStyle name="Заголовок 4" xfId="69"/>
    <cellStyle name="Заголовок 4 2" xfId="70"/>
    <cellStyle name="Итог" xfId="71"/>
    <cellStyle name="Итог 2" xfId="72"/>
    <cellStyle name="Контрольная ячейка" xfId="73"/>
    <cellStyle name="Контрольная ячейка 2" xfId="74"/>
    <cellStyle name="Название" xfId="75"/>
    <cellStyle name="Название 2" xfId="76"/>
    <cellStyle name="Нейтральный" xfId="77"/>
    <cellStyle name="Нейтральный 2" xfId="78"/>
    <cellStyle name="Обычный 10" xfId="79"/>
    <cellStyle name="Обычный 10 2" xfId="80"/>
    <cellStyle name="Обычный 10 3" xfId="81"/>
    <cellStyle name="Обычный 11" xfId="82"/>
    <cellStyle name="Обычный 12" xfId="83"/>
    <cellStyle name="Обычный 12 2" xfId="84"/>
    <cellStyle name="Обычный 13" xfId="85"/>
    <cellStyle name="Обычный 14" xfId="86"/>
    <cellStyle name="Обычный 14 2" xfId="87"/>
    <cellStyle name="Обычный 14 3" xfId="88"/>
    <cellStyle name="Обычный 15" xfId="89"/>
    <cellStyle name="Обычный 16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4 2" xfId="102"/>
    <cellStyle name="Обычный 3 5" xfId="103"/>
    <cellStyle name="Обычный 3 6" xfId="104"/>
    <cellStyle name="Обычный 3 7" xfId="105"/>
    <cellStyle name="Обычный 4" xfId="106"/>
    <cellStyle name="Обычный 4 2" xfId="107"/>
    <cellStyle name="Обычный 4 3" xfId="108"/>
    <cellStyle name="Обычный 4 4" xfId="109"/>
    <cellStyle name="Обычный 4 4 2" xfId="110"/>
    <cellStyle name="Обычный 4 5" xfId="111"/>
    <cellStyle name="Обычный 4 6" xfId="112"/>
    <cellStyle name="Обычный 4 7" xfId="113"/>
    <cellStyle name="Обычный 5" xfId="114"/>
    <cellStyle name="Обычный 5 2" xfId="115"/>
    <cellStyle name="Обычный 6" xfId="116"/>
    <cellStyle name="Обычный 6 2" xfId="117"/>
    <cellStyle name="Обычный 6 3" xfId="118"/>
    <cellStyle name="Обычный 6 4" xfId="119"/>
    <cellStyle name="Обычный 6 4 2" xfId="120"/>
    <cellStyle name="Обычный 6 5" xfId="121"/>
    <cellStyle name="Обычный 6 6" xfId="122"/>
    <cellStyle name="Обычный 6 7" xfId="123"/>
    <cellStyle name="Обычный 7" xfId="124"/>
    <cellStyle name="Обычный 7 2" xfId="125"/>
    <cellStyle name="Обычный 7 3" xfId="126"/>
    <cellStyle name="Обычный 7 4" xfId="127"/>
    <cellStyle name="Обычный 7 4 2" xfId="128"/>
    <cellStyle name="Обычный 7 5" xfId="129"/>
    <cellStyle name="Обычный 7 6" xfId="130"/>
    <cellStyle name="Обычный 7 7" xfId="131"/>
    <cellStyle name="Обычный 8" xfId="132"/>
    <cellStyle name="Обычный 8 2" xfId="133"/>
    <cellStyle name="Обычный 9" xfId="134"/>
    <cellStyle name="Обычный 9 2" xfId="135"/>
    <cellStyle name="Обычный 9 3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Титул" xfId="149"/>
    <cellStyle name="Comma" xfId="150"/>
    <cellStyle name="Comma [0]" xfId="151"/>
    <cellStyle name="Финансовый 2" xfId="152"/>
    <cellStyle name="Финансовый 2 2" xfId="153"/>
    <cellStyle name="Финансовый 3" xfId="154"/>
    <cellStyle name="Финансовый 3 2" xfId="155"/>
    <cellStyle name="Финансовый 4" xfId="156"/>
    <cellStyle name="Хороший" xfId="157"/>
    <cellStyle name="Хороший 2" xfId="1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2"/>
  <sheetViews>
    <sheetView view="pageBreakPreview" zoomScale="70" zoomScaleNormal="80" zoomScaleSheetLayoutView="70" zoomScalePageLayoutView="0" workbookViewId="0" topLeftCell="A1">
      <pane xSplit="6" ySplit="14" topLeftCell="M15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B1" sqref="AB1:AJ16384"/>
    </sheetView>
  </sheetViews>
  <sheetFormatPr defaultColWidth="9.140625" defaultRowHeight="15"/>
  <cols>
    <col min="1" max="1" width="7.28125" style="75" customWidth="1"/>
    <col min="2" max="2" width="50.00390625" style="64" customWidth="1"/>
    <col min="3" max="3" width="12.28125" style="147" customWidth="1"/>
    <col min="4" max="4" width="9.57421875" style="75" customWidth="1"/>
    <col min="5" max="5" width="15.421875" style="75" customWidth="1"/>
    <col min="6" max="6" width="8.8515625" style="75" customWidth="1"/>
    <col min="7" max="7" width="10.57421875" style="75" customWidth="1"/>
    <col min="8" max="8" width="12.7109375" style="75" customWidth="1"/>
    <col min="9" max="9" width="11.421875" style="75" customWidth="1"/>
    <col min="10" max="10" width="12.140625" style="75" customWidth="1"/>
    <col min="11" max="11" width="10.7109375" style="177" customWidth="1"/>
    <col min="12" max="12" width="16.28125" style="270" customWidth="1"/>
    <col min="13" max="13" width="13.8515625" style="270" customWidth="1"/>
    <col min="14" max="14" width="15.8515625" style="270" customWidth="1"/>
    <col min="15" max="15" width="17.421875" style="270" customWidth="1"/>
    <col min="16" max="16" width="15.00390625" style="270" customWidth="1"/>
    <col min="17" max="17" width="13.7109375" style="75" customWidth="1"/>
    <col min="18" max="18" width="12.7109375" style="270" customWidth="1"/>
    <col min="19" max="19" width="16.421875" style="75" customWidth="1"/>
    <col min="20" max="20" width="9.140625" style="75" customWidth="1"/>
    <col min="21" max="21" width="16.28125" style="63" hidden="1" customWidth="1"/>
    <col min="22" max="22" width="20.57421875" style="111" hidden="1" customWidth="1"/>
    <col min="23" max="23" width="21.421875" style="111" hidden="1" customWidth="1"/>
    <col min="24" max="24" width="18.57421875" style="63" hidden="1" customWidth="1"/>
    <col min="25" max="25" width="11.7109375" style="64" hidden="1" customWidth="1"/>
    <col min="26" max="26" width="12.00390625" style="64" hidden="1" customWidth="1"/>
    <col min="27" max="27" width="14.7109375" style="64" hidden="1" customWidth="1"/>
    <col min="28" max="36" width="0" style="64" hidden="1" customWidth="1"/>
    <col min="37" max="16384" width="9.140625" style="64" customWidth="1"/>
  </cols>
  <sheetData>
    <row r="1" spans="1:24" s="3" customFormat="1" ht="13.5">
      <c r="A1" s="2"/>
      <c r="B1" s="4"/>
      <c r="C1" s="75"/>
      <c r="D1" s="372" t="s">
        <v>362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270"/>
      <c r="S1" s="75"/>
      <c r="T1" s="75"/>
      <c r="U1" s="189"/>
      <c r="V1" s="112"/>
      <c r="W1" s="112"/>
      <c r="X1" s="189"/>
    </row>
    <row r="2" spans="1:24" s="3" customFormat="1" ht="30" customHeight="1">
      <c r="A2" s="373" t="s">
        <v>2</v>
      </c>
      <c r="B2" s="373" t="s">
        <v>0</v>
      </c>
      <c r="C2" s="374" t="s">
        <v>3</v>
      </c>
      <c r="D2" s="374"/>
      <c r="E2" s="375" t="s">
        <v>4</v>
      </c>
      <c r="F2" s="375" t="s">
        <v>5</v>
      </c>
      <c r="G2" s="375" t="s">
        <v>6</v>
      </c>
      <c r="H2" s="367" t="s">
        <v>7</v>
      </c>
      <c r="I2" s="370" t="s">
        <v>8</v>
      </c>
      <c r="J2" s="370"/>
      <c r="K2" s="369" t="s">
        <v>9</v>
      </c>
      <c r="L2" s="376" t="s">
        <v>10</v>
      </c>
      <c r="M2" s="376"/>
      <c r="N2" s="376"/>
      <c r="O2" s="376"/>
      <c r="P2" s="376"/>
      <c r="Q2" s="377" t="s">
        <v>11</v>
      </c>
      <c r="R2" s="378" t="s">
        <v>12</v>
      </c>
      <c r="S2" s="367" t="s">
        <v>13</v>
      </c>
      <c r="T2" s="367" t="s">
        <v>14</v>
      </c>
      <c r="U2" s="82"/>
      <c r="V2" s="113"/>
      <c r="W2" s="113"/>
      <c r="X2" s="82"/>
    </row>
    <row r="3" spans="1:24" s="3" customFormat="1" ht="15" customHeight="1">
      <c r="A3" s="373"/>
      <c r="B3" s="373"/>
      <c r="C3" s="367" t="s">
        <v>15</v>
      </c>
      <c r="D3" s="367" t="s">
        <v>16</v>
      </c>
      <c r="E3" s="375"/>
      <c r="F3" s="375"/>
      <c r="G3" s="375"/>
      <c r="H3" s="367"/>
      <c r="I3" s="367" t="s">
        <v>17</v>
      </c>
      <c r="J3" s="367" t="s">
        <v>18</v>
      </c>
      <c r="K3" s="369"/>
      <c r="L3" s="368" t="s">
        <v>17</v>
      </c>
      <c r="M3" s="271"/>
      <c r="N3" s="271"/>
      <c r="O3" s="234"/>
      <c r="P3" s="234"/>
      <c r="Q3" s="377"/>
      <c r="R3" s="378"/>
      <c r="S3" s="367"/>
      <c r="T3" s="367"/>
      <c r="U3" s="82"/>
      <c r="V3" s="113"/>
      <c r="W3" s="113"/>
      <c r="X3" s="82"/>
    </row>
    <row r="4" spans="1:24" s="3" customFormat="1" ht="72.75" customHeight="1">
      <c r="A4" s="373"/>
      <c r="B4" s="373"/>
      <c r="C4" s="367"/>
      <c r="D4" s="367"/>
      <c r="E4" s="375"/>
      <c r="F4" s="375"/>
      <c r="G4" s="375"/>
      <c r="H4" s="367"/>
      <c r="I4" s="367"/>
      <c r="J4" s="367"/>
      <c r="K4" s="369"/>
      <c r="L4" s="368"/>
      <c r="M4" s="271" t="s">
        <v>19</v>
      </c>
      <c r="N4" s="271" t="s">
        <v>20</v>
      </c>
      <c r="O4" s="271" t="s">
        <v>21</v>
      </c>
      <c r="P4" s="271" t="s">
        <v>22</v>
      </c>
      <c r="Q4" s="377"/>
      <c r="R4" s="378"/>
      <c r="S4" s="367"/>
      <c r="T4" s="367"/>
      <c r="U4" s="82"/>
      <c r="V4" s="113"/>
      <c r="W4" s="113"/>
      <c r="X4" s="82"/>
    </row>
    <row r="5" spans="1:24" s="3" customFormat="1" ht="20.25" customHeight="1">
      <c r="A5" s="373"/>
      <c r="B5" s="373"/>
      <c r="C5" s="367"/>
      <c r="D5" s="367"/>
      <c r="E5" s="375"/>
      <c r="F5" s="375"/>
      <c r="G5" s="375"/>
      <c r="H5" s="207" t="s">
        <v>23</v>
      </c>
      <c r="I5" s="207" t="s">
        <v>23</v>
      </c>
      <c r="J5" s="207" t="s">
        <v>23</v>
      </c>
      <c r="K5" s="87" t="s">
        <v>24</v>
      </c>
      <c r="L5" s="234" t="s">
        <v>25</v>
      </c>
      <c r="M5" s="234"/>
      <c r="N5" s="234"/>
      <c r="O5" s="234" t="s">
        <v>25</v>
      </c>
      <c r="P5" s="234" t="s">
        <v>25</v>
      </c>
      <c r="Q5" s="125" t="s">
        <v>26</v>
      </c>
      <c r="R5" s="288" t="s">
        <v>26</v>
      </c>
      <c r="S5" s="367"/>
      <c r="T5" s="367"/>
      <c r="U5" s="82"/>
      <c r="V5" s="113"/>
      <c r="W5" s="113"/>
      <c r="X5" s="82"/>
    </row>
    <row r="6" spans="1:24" s="151" customFormat="1" ht="9.75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52">
        <v>11</v>
      </c>
      <c r="L6" s="152">
        <v>12</v>
      </c>
      <c r="M6" s="152">
        <v>13</v>
      </c>
      <c r="N6" s="152">
        <v>14</v>
      </c>
      <c r="O6" s="152">
        <v>15</v>
      </c>
      <c r="P6" s="152">
        <v>16</v>
      </c>
      <c r="Q6" s="152">
        <v>17</v>
      </c>
      <c r="R6" s="152">
        <v>18</v>
      </c>
      <c r="S6" s="152">
        <v>19</v>
      </c>
      <c r="T6" s="153">
        <v>20</v>
      </c>
      <c r="U6" s="149"/>
      <c r="V6" s="150"/>
      <c r="W6" s="150"/>
      <c r="X6" s="149"/>
    </row>
    <row r="7" spans="1:24" s="23" customFormat="1" ht="13.5">
      <c r="A7" s="366" t="s">
        <v>63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81"/>
      <c r="V7" s="114"/>
      <c r="W7" s="114"/>
      <c r="X7" s="81"/>
    </row>
    <row r="8" spans="1:26" s="86" customFormat="1" ht="18" customHeight="1">
      <c r="A8" s="350" t="s">
        <v>65</v>
      </c>
      <c r="B8" s="350"/>
      <c r="C8" s="350"/>
      <c r="D8" s="350"/>
      <c r="E8" s="350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200"/>
      <c r="V8" s="115"/>
      <c r="W8" s="115"/>
      <c r="X8" s="200"/>
      <c r="Y8" s="202"/>
      <c r="Z8" s="203"/>
    </row>
    <row r="9" spans="1:25" s="97" customFormat="1" ht="18" customHeight="1">
      <c r="A9" s="223">
        <v>1</v>
      </c>
      <c r="B9" s="188" t="s">
        <v>130</v>
      </c>
      <c r="C9" s="207">
        <v>1971</v>
      </c>
      <c r="D9" s="207"/>
      <c r="E9" s="207" t="s">
        <v>27</v>
      </c>
      <c r="F9" s="207">
        <v>2</v>
      </c>
      <c r="G9" s="207">
        <v>3</v>
      </c>
      <c r="H9" s="32">
        <v>845.5</v>
      </c>
      <c r="I9" s="32">
        <v>489.8</v>
      </c>
      <c r="J9" s="32">
        <v>339.1</v>
      </c>
      <c r="K9" s="87">
        <v>32</v>
      </c>
      <c r="L9" s="96">
        <f>'раздел 4'!C12</f>
        <v>161189.99</v>
      </c>
      <c r="M9" s="96"/>
      <c r="N9" s="96">
        <v>96713.99</v>
      </c>
      <c r="O9" s="96">
        <v>32238</v>
      </c>
      <c r="P9" s="96">
        <f>L9-N9-O9</f>
        <v>32237.999999999985</v>
      </c>
      <c r="Q9" s="95">
        <f>L9/H9</f>
        <v>190.64457717327025</v>
      </c>
      <c r="R9" s="96">
        <v>42000</v>
      </c>
      <c r="S9" s="126" t="s">
        <v>401</v>
      </c>
      <c r="T9" s="101" t="s">
        <v>318</v>
      </c>
      <c r="U9" s="203"/>
      <c r="V9" s="105">
        <f>L9*0.6</f>
        <v>96713.99399999999</v>
      </c>
      <c r="W9" s="105">
        <f>L9*0.2</f>
        <v>32237.998</v>
      </c>
      <c r="X9" s="203"/>
      <c r="Y9" s="196" t="s">
        <v>187</v>
      </c>
    </row>
    <row r="10" spans="1:25" s="97" customFormat="1" ht="18" customHeight="1">
      <c r="A10" s="223">
        <f>A9+1</f>
        <v>2</v>
      </c>
      <c r="B10" s="188" t="s">
        <v>185</v>
      </c>
      <c r="C10" s="207">
        <v>1970</v>
      </c>
      <c r="D10" s="207"/>
      <c r="E10" s="207" t="s">
        <v>27</v>
      </c>
      <c r="F10" s="207">
        <v>2</v>
      </c>
      <c r="G10" s="207">
        <v>2</v>
      </c>
      <c r="H10" s="32">
        <v>725.8</v>
      </c>
      <c r="I10" s="32">
        <v>470.7</v>
      </c>
      <c r="J10" s="32">
        <v>301.1</v>
      </c>
      <c r="K10" s="87">
        <v>50</v>
      </c>
      <c r="L10" s="96">
        <f>'раздел 4'!C13</f>
        <v>199288.48</v>
      </c>
      <c r="M10" s="96"/>
      <c r="N10" s="96">
        <v>119573.08</v>
      </c>
      <c r="O10" s="96">
        <v>39857.7</v>
      </c>
      <c r="P10" s="96">
        <f>L10-N10-O10</f>
        <v>39857.70000000001</v>
      </c>
      <c r="Q10" s="95">
        <f>L10/H10</f>
        <v>274.57767980159826</v>
      </c>
      <c r="R10" s="96">
        <v>42000</v>
      </c>
      <c r="S10" s="126" t="s">
        <v>401</v>
      </c>
      <c r="T10" s="101" t="s">
        <v>318</v>
      </c>
      <c r="U10" s="203"/>
      <c r="V10" s="105">
        <f aca="true" t="shared" si="0" ref="V10:V70">L10*0.6</f>
        <v>119573.088</v>
      </c>
      <c r="W10" s="105">
        <f aca="true" t="shared" si="1" ref="W10:W70">L10*0.2</f>
        <v>39857.696</v>
      </c>
      <c r="X10" s="203"/>
      <c r="Y10" s="196"/>
    </row>
    <row r="11" spans="1:25" s="97" customFormat="1" ht="18" customHeight="1">
      <c r="A11" s="357" t="s">
        <v>64</v>
      </c>
      <c r="B11" s="357"/>
      <c r="C11" s="32" t="s">
        <v>37</v>
      </c>
      <c r="D11" s="32" t="s">
        <v>37</v>
      </c>
      <c r="E11" s="32" t="s">
        <v>37</v>
      </c>
      <c r="F11" s="32" t="s">
        <v>37</v>
      </c>
      <c r="G11" s="32" t="s">
        <v>37</v>
      </c>
      <c r="H11" s="95">
        <f>SUM(H9:H10)</f>
        <v>1571.3</v>
      </c>
      <c r="I11" s="95">
        <f aca="true" t="shared" si="2" ref="I11:P11">SUM(I9:I10)</f>
        <v>960.5</v>
      </c>
      <c r="J11" s="95">
        <f t="shared" si="2"/>
        <v>640.2</v>
      </c>
      <c r="K11" s="99">
        <f t="shared" si="2"/>
        <v>82</v>
      </c>
      <c r="L11" s="96">
        <f t="shared" si="2"/>
        <v>360478.47</v>
      </c>
      <c r="M11" s="96">
        <f t="shared" si="2"/>
        <v>0</v>
      </c>
      <c r="N11" s="96">
        <f t="shared" si="2"/>
        <v>216287.07</v>
      </c>
      <c r="O11" s="96">
        <f>SUM(O9:O10)</f>
        <v>72095.7</v>
      </c>
      <c r="P11" s="96">
        <f t="shared" si="2"/>
        <v>72095.7</v>
      </c>
      <c r="Q11" s="95">
        <f>L11/H11</f>
        <v>229.41416024947495</v>
      </c>
      <c r="R11" s="96"/>
      <c r="S11" s="206"/>
      <c r="T11" s="206"/>
      <c r="U11" s="105">
        <f>L11-N11-O11-P11</f>
        <v>0</v>
      </c>
      <c r="V11" s="105">
        <f t="shared" si="0"/>
        <v>216287.08199999997</v>
      </c>
      <c r="W11" s="105">
        <f t="shared" si="1"/>
        <v>72095.694</v>
      </c>
      <c r="X11" s="105">
        <f>'раздел 4'!C14-раздел3!L11</f>
        <v>0</v>
      </c>
      <c r="Y11" s="196"/>
    </row>
    <row r="12" spans="1:24" s="97" customFormat="1" ht="18" customHeight="1">
      <c r="A12" s="382" t="s">
        <v>66</v>
      </c>
      <c r="B12" s="383"/>
      <c r="C12" s="383"/>
      <c r="D12" s="383"/>
      <c r="E12" s="384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195"/>
      <c r="V12" s="105">
        <f t="shared" si="0"/>
        <v>0</v>
      </c>
      <c r="W12" s="105">
        <f t="shared" si="1"/>
        <v>0</v>
      </c>
      <c r="X12" s="105">
        <f>'раздел 4'!C15-раздел3!L12</f>
        <v>0</v>
      </c>
    </row>
    <row r="13" spans="1:25" s="97" customFormat="1" ht="18" customHeight="1">
      <c r="A13" s="223">
        <f>A10+1</f>
        <v>3</v>
      </c>
      <c r="B13" s="187" t="s">
        <v>186</v>
      </c>
      <c r="C13" s="54">
        <v>1993</v>
      </c>
      <c r="D13" s="54"/>
      <c r="E13" s="49" t="s">
        <v>29</v>
      </c>
      <c r="F13" s="50" t="s">
        <v>30</v>
      </c>
      <c r="G13" s="54">
        <v>5</v>
      </c>
      <c r="H13" s="54">
        <v>3487.06</v>
      </c>
      <c r="I13" s="54">
        <v>3039.86</v>
      </c>
      <c r="J13" s="54">
        <v>2555.16</v>
      </c>
      <c r="K13" s="158">
        <v>150</v>
      </c>
      <c r="L13" s="51">
        <f>'раздел 4'!C16</f>
        <v>1231533.03</v>
      </c>
      <c r="M13" s="96">
        <v>0</v>
      </c>
      <c r="N13" s="96">
        <v>738919.81</v>
      </c>
      <c r="O13" s="96">
        <f>L13*0.2</f>
        <v>246306.60600000003</v>
      </c>
      <c r="P13" s="96">
        <f>L13-N13-O13</f>
        <v>246306.61399999994</v>
      </c>
      <c r="Q13" s="95">
        <f>L13/H13</f>
        <v>353.17230847762875</v>
      </c>
      <c r="R13" s="96">
        <v>42000</v>
      </c>
      <c r="S13" s="126" t="s">
        <v>401</v>
      </c>
      <c r="T13" s="101" t="s">
        <v>318</v>
      </c>
      <c r="U13" s="203"/>
      <c r="V13" s="105">
        <f t="shared" si="0"/>
        <v>738919.818</v>
      </c>
      <c r="W13" s="105">
        <f t="shared" si="1"/>
        <v>246306.60600000003</v>
      </c>
      <c r="X13" s="105">
        <f>'раздел 4'!C16-раздел3!L13</f>
        <v>0</v>
      </c>
      <c r="Y13" s="196" t="s">
        <v>189</v>
      </c>
    </row>
    <row r="14" spans="1:24" s="97" customFormat="1" ht="18" customHeight="1">
      <c r="A14" s="357" t="s">
        <v>64</v>
      </c>
      <c r="B14" s="357"/>
      <c r="C14" s="32" t="s">
        <v>37</v>
      </c>
      <c r="D14" s="32" t="s">
        <v>37</v>
      </c>
      <c r="E14" s="32" t="s">
        <v>37</v>
      </c>
      <c r="F14" s="32" t="s">
        <v>37</v>
      </c>
      <c r="G14" s="32" t="s">
        <v>37</v>
      </c>
      <c r="H14" s="206">
        <f aca="true" t="shared" si="3" ref="H14:M14">SUM(H13:H13)</f>
        <v>3487.06</v>
      </c>
      <c r="I14" s="206">
        <f t="shared" si="3"/>
        <v>3039.86</v>
      </c>
      <c r="J14" s="206">
        <f t="shared" si="3"/>
        <v>2555.16</v>
      </c>
      <c r="K14" s="99">
        <f t="shared" si="3"/>
        <v>150</v>
      </c>
      <c r="L14" s="96">
        <f t="shared" si="3"/>
        <v>1231533.03</v>
      </c>
      <c r="M14" s="96">
        <f t="shared" si="3"/>
        <v>0</v>
      </c>
      <c r="N14" s="96">
        <f>N13</f>
        <v>738919.81</v>
      </c>
      <c r="O14" s="96">
        <v>246306.61</v>
      </c>
      <c r="P14" s="96">
        <f>L14-N14-O14</f>
        <v>246306.61</v>
      </c>
      <c r="Q14" s="95">
        <f>L14/H14</f>
        <v>353.17230847762875</v>
      </c>
      <c r="R14" s="96">
        <v>42000</v>
      </c>
      <c r="S14" s="126" t="s">
        <v>401</v>
      </c>
      <c r="T14" s="206"/>
      <c r="U14" s="86"/>
      <c r="V14" s="105">
        <f t="shared" si="0"/>
        <v>738919.818</v>
      </c>
      <c r="W14" s="105">
        <f t="shared" si="1"/>
        <v>246306.60600000003</v>
      </c>
      <c r="X14" s="105">
        <f>'раздел 4'!C17-раздел3!L14</f>
        <v>0</v>
      </c>
    </row>
    <row r="15" spans="1:24" s="86" customFormat="1" ht="18" customHeight="1">
      <c r="A15" s="344" t="s">
        <v>67</v>
      </c>
      <c r="B15" s="344"/>
      <c r="C15" s="344"/>
      <c r="D15" s="110" t="s">
        <v>37</v>
      </c>
      <c r="E15" s="110" t="s">
        <v>37</v>
      </c>
      <c r="F15" s="110" t="s">
        <v>37</v>
      </c>
      <c r="G15" s="110" t="s">
        <v>37</v>
      </c>
      <c r="H15" s="29">
        <f>H11+H14</f>
        <v>5058.36</v>
      </c>
      <c r="I15" s="29">
        <f aca="true" t="shared" si="4" ref="I15:P15">I11+I14</f>
        <v>4000.36</v>
      </c>
      <c r="J15" s="29">
        <f t="shared" si="4"/>
        <v>3195.3599999999997</v>
      </c>
      <c r="K15" s="159">
        <f t="shared" si="4"/>
        <v>232</v>
      </c>
      <c r="L15" s="73">
        <f t="shared" si="4"/>
        <v>1592011.5</v>
      </c>
      <c r="M15" s="73">
        <f t="shared" si="4"/>
        <v>0</v>
      </c>
      <c r="N15" s="73">
        <f>N11+N14</f>
        <v>955206.8800000001</v>
      </c>
      <c r="O15" s="73">
        <f t="shared" si="4"/>
        <v>318402.31</v>
      </c>
      <c r="P15" s="73">
        <f t="shared" si="4"/>
        <v>318402.31</v>
      </c>
      <c r="Q15" s="29">
        <f>L15/H15</f>
        <v>314.7287856143098</v>
      </c>
      <c r="R15" s="73"/>
      <c r="S15" s="195"/>
      <c r="T15" s="195"/>
      <c r="U15" s="105">
        <f>L15-N15-O15-P15</f>
        <v>0</v>
      </c>
      <c r="V15" s="105">
        <f aca="true" t="shared" si="5" ref="V15:V20">L15*0.6</f>
        <v>955206.8999999999</v>
      </c>
      <c r="W15" s="105">
        <f>L15*0.2</f>
        <v>318402.30000000005</v>
      </c>
      <c r="X15" s="105">
        <f>'раздел 4'!C18-раздел3!L15</f>
        <v>0</v>
      </c>
    </row>
    <row r="16" spans="1:24" s="3" customFormat="1" ht="16.5" customHeight="1">
      <c r="A16" s="366" t="s">
        <v>353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183">
        <f>N16+O16+P16</f>
        <v>0</v>
      </c>
      <c r="V16" s="105">
        <f t="shared" si="5"/>
        <v>0</v>
      </c>
      <c r="W16" s="105">
        <f>L16*0.2</f>
        <v>0</v>
      </c>
      <c r="X16" s="105">
        <f>'раздел 4'!C19-раздел3!L16</f>
        <v>0</v>
      </c>
    </row>
    <row r="17" spans="1:24" s="3" customFormat="1" ht="16.5" customHeight="1">
      <c r="A17" s="363" t="s">
        <v>354</v>
      </c>
      <c r="B17" s="364"/>
      <c r="C17" s="364"/>
      <c r="D17" s="364"/>
      <c r="E17" s="365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183">
        <f>N17+O17+P17</f>
        <v>0</v>
      </c>
      <c r="V17" s="105">
        <f t="shared" si="5"/>
        <v>0</v>
      </c>
      <c r="W17" s="105">
        <f>L17*0.2</f>
        <v>0</v>
      </c>
      <c r="X17" s="105">
        <f>'раздел 4'!C20-раздел3!L17</f>
        <v>0</v>
      </c>
    </row>
    <row r="18" spans="1:24" s="3" customFormat="1" ht="16.5" customHeight="1">
      <c r="A18" s="341" t="s">
        <v>354</v>
      </c>
      <c r="B18" s="342"/>
      <c r="C18" s="345"/>
      <c r="D18" s="191"/>
      <c r="E18" s="192"/>
      <c r="F18" s="193"/>
      <c r="G18" s="193"/>
      <c r="H18" s="193"/>
      <c r="I18" s="193"/>
      <c r="J18" s="193"/>
      <c r="K18" s="193"/>
      <c r="L18" s="272"/>
      <c r="M18" s="18"/>
      <c r="N18" s="18"/>
      <c r="O18" s="18"/>
      <c r="P18" s="18"/>
      <c r="Q18" s="193"/>
      <c r="R18" s="18"/>
      <c r="S18" s="193"/>
      <c r="T18" s="193"/>
      <c r="U18" s="183"/>
      <c r="V18" s="105"/>
      <c r="W18" s="105"/>
      <c r="X18" s="105"/>
    </row>
    <row r="19" spans="1:26" s="3" customFormat="1" ht="16.5" customHeight="1">
      <c r="A19" s="179">
        <f>A13+1</f>
        <v>4</v>
      </c>
      <c r="B19" s="24" t="s">
        <v>355</v>
      </c>
      <c r="C19" s="178">
        <v>1977</v>
      </c>
      <c r="D19" s="178"/>
      <c r="E19" s="205" t="s">
        <v>36</v>
      </c>
      <c r="F19" s="8">
        <v>5</v>
      </c>
      <c r="G19" s="8">
        <v>6</v>
      </c>
      <c r="H19" s="193">
        <v>5416.8</v>
      </c>
      <c r="I19" s="193">
        <v>4833</v>
      </c>
      <c r="J19" s="193">
        <v>3574</v>
      </c>
      <c r="K19" s="193">
        <v>252</v>
      </c>
      <c r="L19" s="19">
        <f>'раздел 4'!C21</f>
        <v>1880962.48</v>
      </c>
      <c r="M19" s="18">
        <v>0</v>
      </c>
      <c r="N19" s="248">
        <v>654912.27</v>
      </c>
      <c r="O19" s="248">
        <v>327456.14</v>
      </c>
      <c r="P19" s="96">
        <f>L19-N19-O19</f>
        <v>898594.07</v>
      </c>
      <c r="Q19" s="193">
        <f>L19/H19</f>
        <v>347.24606409688374</v>
      </c>
      <c r="R19" s="96">
        <v>42000</v>
      </c>
      <c r="S19" s="126" t="s">
        <v>401</v>
      </c>
      <c r="T19" s="190" t="s">
        <v>318</v>
      </c>
      <c r="U19" s="105">
        <f>L19-N19-O19-P19</f>
        <v>0</v>
      </c>
      <c r="V19" s="105">
        <f>L19*0.4</f>
        <v>752384.9920000001</v>
      </c>
      <c r="W19" s="105">
        <f>L19*0.2</f>
        <v>376192.49600000004</v>
      </c>
      <c r="X19" s="105">
        <f>L19-'раздел 4'!C21</f>
        <v>0</v>
      </c>
      <c r="Y19" s="3" t="s">
        <v>359</v>
      </c>
      <c r="Z19" s="3" t="s">
        <v>360</v>
      </c>
    </row>
    <row r="20" spans="1:27" s="3" customFormat="1" ht="16.5" customHeight="1">
      <c r="A20" s="388" t="s">
        <v>64</v>
      </c>
      <c r="B20" s="389"/>
      <c r="C20" s="190" t="s">
        <v>37</v>
      </c>
      <c r="D20" s="190" t="s">
        <v>37</v>
      </c>
      <c r="E20" s="190" t="s">
        <v>37</v>
      </c>
      <c r="F20" s="190" t="s">
        <v>37</v>
      </c>
      <c r="G20" s="190" t="s">
        <v>37</v>
      </c>
      <c r="H20" s="193">
        <f aca="true" t="shared" si="6" ref="H20:P20">SUM(H19:H19)</f>
        <v>5416.8</v>
      </c>
      <c r="I20" s="193">
        <f t="shared" si="6"/>
        <v>4833</v>
      </c>
      <c r="J20" s="193">
        <f t="shared" si="6"/>
        <v>3574</v>
      </c>
      <c r="K20" s="193">
        <f t="shared" si="6"/>
        <v>252</v>
      </c>
      <c r="L20" s="18">
        <f t="shared" si="6"/>
        <v>1880962.48</v>
      </c>
      <c r="M20" s="18">
        <f t="shared" si="6"/>
        <v>0</v>
      </c>
      <c r="N20" s="18">
        <f t="shared" si="6"/>
        <v>654912.27</v>
      </c>
      <c r="O20" s="18">
        <f t="shared" si="6"/>
        <v>327456.14</v>
      </c>
      <c r="P20" s="18">
        <f t="shared" si="6"/>
        <v>898594.07</v>
      </c>
      <c r="Q20" s="193">
        <f>L20/H20</f>
        <v>347.24606409688374</v>
      </c>
      <c r="R20" s="19" t="s">
        <v>37</v>
      </c>
      <c r="S20" s="193" t="s">
        <v>37</v>
      </c>
      <c r="T20" s="190" t="s">
        <v>37</v>
      </c>
      <c r="U20" s="105">
        <f>L20-N20-O20-P20</f>
        <v>0</v>
      </c>
      <c r="V20" s="105">
        <f t="shared" si="5"/>
        <v>1128577.488</v>
      </c>
      <c r="X20" s="105">
        <f>'раздел 4'!C23-раздел3!L20</f>
        <v>0</v>
      </c>
      <c r="Y20" s="183">
        <f>N19+N30</f>
        <v>3726626.44</v>
      </c>
      <c r="Z20" s="183">
        <f>O19+O30</f>
        <v>1863313.2200000002</v>
      </c>
      <c r="AA20" s="183">
        <f>P19+P30</f>
        <v>5174636.98</v>
      </c>
    </row>
    <row r="21" spans="1:24" s="86" customFormat="1" ht="18" customHeight="1">
      <c r="A21" s="344" t="s">
        <v>67</v>
      </c>
      <c r="B21" s="344"/>
      <c r="C21" s="344"/>
      <c r="D21" s="110" t="s">
        <v>37</v>
      </c>
      <c r="E21" s="110" t="s">
        <v>37</v>
      </c>
      <c r="F21" s="110" t="s">
        <v>37</v>
      </c>
      <c r="G21" s="110" t="s">
        <v>37</v>
      </c>
      <c r="H21" s="29">
        <f>H19</f>
        <v>5416.8</v>
      </c>
      <c r="I21" s="29">
        <f aca="true" t="shared" si="7" ref="I21:Q21">I19</f>
        <v>4833</v>
      </c>
      <c r="J21" s="29">
        <f t="shared" si="7"/>
        <v>3574</v>
      </c>
      <c r="K21" s="29">
        <f t="shared" si="7"/>
        <v>252</v>
      </c>
      <c r="L21" s="73">
        <f t="shared" si="7"/>
        <v>1880962.48</v>
      </c>
      <c r="M21" s="73">
        <f t="shared" si="7"/>
        <v>0</v>
      </c>
      <c r="N21" s="73">
        <f t="shared" si="7"/>
        <v>654912.27</v>
      </c>
      <c r="O21" s="73">
        <f t="shared" si="7"/>
        <v>327456.14</v>
      </c>
      <c r="P21" s="73">
        <f t="shared" si="7"/>
        <v>898594.07</v>
      </c>
      <c r="Q21" s="29">
        <f t="shared" si="7"/>
        <v>347.24606409688374</v>
      </c>
      <c r="R21" s="73"/>
      <c r="S21" s="195"/>
      <c r="T21" s="195"/>
      <c r="U21" s="105">
        <f>L21-N21-O21-P21</f>
        <v>0</v>
      </c>
      <c r="V21" s="105">
        <f>L21*0.6</f>
        <v>1128577.488</v>
      </c>
      <c r="W21" s="105">
        <f>L21*0.2</f>
        <v>376192.49600000004</v>
      </c>
      <c r="X21" s="105">
        <f>L21-'раздел 4'!C23</f>
        <v>0</v>
      </c>
    </row>
    <row r="22" spans="1:24" s="97" customFormat="1" ht="18" customHeight="1">
      <c r="A22" s="391" t="s">
        <v>68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3"/>
      <c r="U22" s="194"/>
      <c r="V22" s="105">
        <f t="shared" si="0"/>
        <v>0</v>
      </c>
      <c r="W22" s="105">
        <f t="shared" si="1"/>
        <v>0</v>
      </c>
      <c r="X22" s="105">
        <f>L22-'раздел 4'!C24</f>
        <v>0</v>
      </c>
    </row>
    <row r="23" spans="1:24" s="97" customFormat="1" ht="13.5">
      <c r="A23" s="379" t="s">
        <v>192</v>
      </c>
      <c r="B23" s="380"/>
      <c r="C23" s="380"/>
      <c r="D23" s="380"/>
      <c r="E23" s="381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195"/>
      <c r="V23" s="105">
        <f t="shared" si="0"/>
        <v>0</v>
      </c>
      <c r="W23" s="105">
        <f t="shared" si="1"/>
        <v>0</v>
      </c>
      <c r="X23" s="105">
        <f>L23-'раздел 4'!C25</f>
        <v>0</v>
      </c>
    </row>
    <row r="24" spans="1:25" s="97" customFormat="1" ht="13.5">
      <c r="A24" s="1">
        <f>A19+1</f>
        <v>5</v>
      </c>
      <c r="B24" s="26" t="s">
        <v>190</v>
      </c>
      <c r="C24" s="207">
        <v>1972</v>
      </c>
      <c r="D24" s="206"/>
      <c r="E24" s="207" t="s">
        <v>36</v>
      </c>
      <c r="F24" s="206">
        <v>2</v>
      </c>
      <c r="G24" s="206">
        <v>3</v>
      </c>
      <c r="H24" s="95">
        <v>846.4</v>
      </c>
      <c r="I24" s="95">
        <v>764.3</v>
      </c>
      <c r="J24" s="95">
        <v>764.3</v>
      </c>
      <c r="K24" s="99">
        <v>33</v>
      </c>
      <c r="L24" s="96">
        <f>'раздел 4'!C26</f>
        <v>177334.78</v>
      </c>
      <c r="M24" s="96">
        <v>0</v>
      </c>
      <c r="N24" s="96">
        <v>106400.88</v>
      </c>
      <c r="O24" s="96">
        <v>35466.95</v>
      </c>
      <c r="P24" s="96">
        <f>L24-N24-O24</f>
        <v>35466.95</v>
      </c>
      <c r="Q24" s="95">
        <f>L24/H24</f>
        <v>209.51651701323252</v>
      </c>
      <c r="R24" s="96">
        <v>42000</v>
      </c>
      <c r="S24" s="126" t="s">
        <v>401</v>
      </c>
      <c r="T24" s="109" t="s">
        <v>318</v>
      </c>
      <c r="U24" s="203"/>
      <c r="V24" s="105">
        <f t="shared" si="0"/>
        <v>106400.868</v>
      </c>
      <c r="W24" s="105">
        <f t="shared" si="1"/>
        <v>35466.956</v>
      </c>
      <c r="X24" s="105">
        <f>L24-'раздел 4'!C26</f>
        <v>0</v>
      </c>
      <c r="Y24" s="196" t="s">
        <v>193</v>
      </c>
    </row>
    <row r="25" spans="1:24" s="97" customFormat="1" ht="13.5">
      <c r="A25" s="1">
        <f>A24+1</f>
        <v>6</v>
      </c>
      <c r="B25" s="26" t="s">
        <v>191</v>
      </c>
      <c r="C25" s="207">
        <v>1972</v>
      </c>
      <c r="D25" s="206"/>
      <c r="E25" s="207" t="s">
        <v>36</v>
      </c>
      <c r="F25" s="206">
        <v>2</v>
      </c>
      <c r="G25" s="206">
        <v>3</v>
      </c>
      <c r="H25" s="95">
        <v>847.1</v>
      </c>
      <c r="I25" s="95">
        <v>764.7</v>
      </c>
      <c r="J25" s="206">
        <v>622.68</v>
      </c>
      <c r="K25" s="99">
        <v>40</v>
      </c>
      <c r="L25" s="96">
        <f>'раздел 4'!C27</f>
        <v>176028.77</v>
      </c>
      <c r="M25" s="96">
        <v>0</v>
      </c>
      <c r="N25" s="96">
        <v>105617.27</v>
      </c>
      <c r="O25" s="96">
        <v>35205.75</v>
      </c>
      <c r="P25" s="96">
        <f>L25-N25-O25</f>
        <v>35205.749999999985</v>
      </c>
      <c r="Q25" s="95">
        <f>L25/H25</f>
        <v>207.8016408924566</v>
      </c>
      <c r="R25" s="96">
        <v>42000</v>
      </c>
      <c r="S25" s="126" t="s">
        <v>401</v>
      </c>
      <c r="T25" s="119"/>
      <c r="U25" s="86"/>
      <c r="V25" s="105">
        <f t="shared" si="0"/>
        <v>105617.26199999999</v>
      </c>
      <c r="W25" s="105">
        <f t="shared" si="1"/>
        <v>35205.754</v>
      </c>
      <c r="X25" s="105">
        <f>L25-'раздел 4'!C27</f>
        <v>0</v>
      </c>
    </row>
    <row r="26" spans="1:24" s="97" customFormat="1" ht="13.5">
      <c r="A26" s="357" t="s">
        <v>64</v>
      </c>
      <c r="B26" s="357"/>
      <c r="C26" s="32" t="s">
        <v>37</v>
      </c>
      <c r="D26" s="32" t="s">
        <v>37</v>
      </c>
      <c r="E26" s="32" t="s">
        <v>37</v>
      </c>
      <c r="F26" s="32" t="s">
        <v>37</v>
      </c>
      <c r="G26" s="32" t="s">
        <v>37</v>
      </c>
      <c r="H26" s="95">
        <f aca="true" t="shared" si="8" ref="H26:P26">SUM(H24:H25)</f>
        <v>1693.5</v>
      </c>
      <c r="I26" s="95">
        <f t="shared" si="8"/>
        <v>1529</v>
      </c>
      <c r="J26" s="95">
        <f t="shared" si="8"/>
        <v>1386.98</v>
      </c>
      <c r="K26" s="99">
        <f t="shared" si="8"/>
        <v>73</v>
      </c>
      <c r="L26" s="96">
        <f t="shared" si="8"/>
        <v>353363.55</v>
      </c>
      <c r="M26" s="96">
        <f t="shared" si="8"/>
        <v>0</v>
      </c>
      <c r="N26" s="96">
        <f t="shared" si="8"/>
        <v>212018.15000000002</v>
      </c>
      <c r="O26" s="96">
        <f t="shared" si="8"/>
        <v>70672.7</v>
      </c>
      <c r="P26" s="96">
        <f t="shared" si="8"/>
        <v>70672.69999999998</v>
      </c>
      <c r="Q26" s="95">
        <f>L26/H26</f>
        <v>208.6587245349867</v>
      </c>
      <c r="R26" s="96">
        <v>42000</v>
      </c>
      <c r="S26" s="126" t="s">
        <v>401</v>
      </c>
      <c r="T26" s="119"/>
      <c r="U26" s="203"/>
      <c r="V26" s="105">
        <f t="shared" si="0"/>
        <v>212018.12999999998</v>
      </c>
      <c r="W26" s="105">
        <f t="shared" si="1"/>
        <v>70672.71</v>
      </c>
      <c r="X26" s="105">
        <f>L26-'раздел 4'!C28</f>
        <v>0</v>
      </c>
    </row>
    <row r="27" spans="1:24" s="97" customFormat="1" ht="13.5">
      <c r="A27" s="344" t="s">
        <v>69</v>
      </c>
      <c r="B27" s="344"/>
      <c r="C27" s="344"/>
      <c r="D27" s="110" t="s">
        <v>37</v>
      </c>
      <c r="E27" s="110" t="s">
        <v>37</v>
      </c>
      <c r="F27" s="110" t="s">
        <v>37</v>
      </c>
      <c r="G27" s="110" t="s">
        <v>37</v>
      </c>
      <c r="H27" s="29">
        <f>H26</f>
        <v>1693.5</v>
      </c>
      <c r="I27" s="29">
        <f aca="true" t="shared" si="9" ref="I27:P27">I26</f>
        <v>1529</v>
      </c>
      <c r="J27" s="29">
        <f t="shared" si="9"/>
        <v>1386.98</v>
      </c>
      <c r="K27" s="159">
        <f t="shared" si="9"/>
        <v>73</v>
      </c>
      <c r="L27" s="73">
        <f t="shared" si="9"/>
        <v>353363.55</v>
      </c>
      <c r="M27" s="73">
        <f t="shared" si="9"/>
        <v>0</v>
      </c>
      <c r="N27" s="73">
        <f t="shared" si="9"/>
        <v>212018.15000000002</v>
      </c>
      <c r="O27" s="73">
        <f t="shared" si="9"/>
        <v>70672.7</v>
      </c>
      <c r="P27" s="73">
        <f t="shared" si="9"/>
        <v>70672.69999999998</v>
      </c>
      <c r="Q27" s="29">
        <f>L27/H27</f>
        <v>208.6587245349867</v>
      </c>
      <c r="R27" s="73"/>
      <c r="S27" s="195"/>
      <c r="T27" s="201"/>
      <c r="U27" s="105">
        <f>L27-N27-O27-P27</f>
        <v>0</v>
      </c>
      <c r="V27" s="105">
        <f t="shared" si="0"/>
        <v>212018.12999999998</v>
      </c>
      <c r="W27" s="105">
        <f t="shared" si="1"/>
        <v>70672.71</v>
      </c>
      <c r="X27" s="105">
        <f>L27-'раздел 4'!C29</f>
        <v>0</v>
      </c>
    </row>
    <row r="28" spans="1:24" s="206" customFormat="1" ht="13.5">
      <c r="A28" s="223"/>
      <c r="B28" s="354" t="s">
        <v>357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6"/>
      <c r="U28" s="201"/>
      <c r="V28" s="105">
        <f t="shared" si="0"/>
        <v>0</v>
      </c>
      <c r="W28" s="105">
        <f t="shared" si="1"/>
        <v>0</v>
      </c>
      <c r="X28" s="105">
        <f>L28-'раздел 4'!C30</f>
        <v>0</v>
      </c>
    </row>
    <row r="29" spans="1:24" s="206" customFormat="1" ht="13.5">
      <c r="A29" s="338" t="s">
        <v>351</v>
      </c>
      <c r="B29" s="339"/>
      <c r="C29" s="340"/>
      <c r="D29" s="200"/>
      <c r="E29" s="200"/>
      <c r="F29" s="200"/>
      <c r="G29" s="200"/>
      <c r="H29" s="200"/>
      <c r="I29" s="200"/>
      <c r="J29" s="200"/>
      <c r="K29" s="200"/>
      <c r="L29" s="273"/>
      <c r="M29" s="273"/>
      <c r="N29" s="273"/>
      <c r="O29" s="273"/>
      <c r="P29" s="273"/>
      <c r="Q29" s="200"/>
      <c r="R29" s="273"/>
      <c r="S29" s="200"/>
      <c r="T29" s="201"/>
      <c r="U29" s="201"/>
      <c r="V29" s="105"/>
      <c r="W29" s="105"/>
      <c r="X29" s="105">
        <f>L29-'раздел 4'!C31</f>
        <v>0</v>
      </c>
    </row>
    <row r="30" spans="1:24" s="3" customFormat="1" ht="16.5" customHeight="1">
      <c r="A30" s="1">
        <f>A25+1</f>
        <v>7</v>
      </c>
      <c r="B30" s="24" t="s">
        <v>352</v>
      </c>
      <c r="C30" s="185">
        <v>1993</v>
      </c>
      <c r="D30" s="185"/>
      <c r="E30" s="205" t="s">
        <v>36</v>
      </c>
      <c r="F30" s="186">
        <v>9</v>
      </c>
      <c r="G30" s="186">
        <v>3</v>
      </c>
      <c r="H30" s="184">
        <v>7161.3</v>
      </c>
      <c r="I30" s="184">
        <v>7161.3</v>
      </c>
      <c r="J30" s="184">
        <v>6186.7</v>
      </c>
      <c r="K30" s="186">
        <v>274</v>
      </c>
      <c r="L30" s="19">
        <f>'раздел 4'!C32</f>
        <v>8883614.16</v>
      </c>
      <c r="M30" s="19">
        <v>0</v>
      </c>
      <c r="N30" s="248">
        <v>3071714.17</v>
      </c>
      <c r="O30" s="96">
        <v>1535857.08</v>
      </c>
      <c r="P30" s="96">
        <f>L30-N30-O30</f>
        <v>4276042.91</v>
      </c>
      <c r="Q30" s="190">
        <v>1803.9686118442182</v>
      </c>
      <c r="R30" s="96">
        <v>42000</v>
      </c>
      <c r="S30" s="126" t="s">
        <v>401</v>
      </c>
      <c r="T30" s="190" t="s">
        <v>318</v>
      </c>
      <c r="U30" s="105">
        <f>L30-N30-O30-P30</f>
        <v>0</v>
      </c>
      <c r="V30" s="105">
        <f>L30*0.4</f>
        <v>3553445.6640000003</v>
      </c>
      <c r="W30" s="105">
        <f>L30*0.2</f>
        <v>1776722.8320000002</v>
      </c>
      <c r="X30" s="105">
        <f>L30-'раздел 4'!C32</f>
        <v>0</v>
      </c>
    </row>
    <row r="31" spans="1:24" s="97" customFormat="1" ht="13.5">
      <c r="A31" s="357" t="s">
        <v>64</v>
      </c>
      <c r="B31" s="357"/>
      <c r="C31" s="32" t="s">
        <v>37</v>
      </c>
      <c r="D31" s="32" t="s">
        <v>37</v>
      </c>
      <c r="E31" s="32" t="s">
        <v>37</v>
      </c>
      <c r="F31" s="32" t="s">
        <v>37</v>
      </c>
      <c r="G31" s="32" t="s">
        <v>37</v>
      </c>
      <c r="H31" s="95">
        <f aca="true" t="shared" si="10" ref="H31:P31">SUM(H29:H30)</f>
        <v>7161.3</v>
      </c>
      <c r="I31" s="95">
        <f t="shared" si="10"/>
        <v>7161.3</v>
      </c>
      <c r="J31" s="95">
        <f t="shared" si="10"/>
        <v>6186.7</v>
      </c>
      <c r="K31" s="99">
        <f t="shared" si="10"/>
        <v>274</v>
      </c>
      <c r="L31" s="96">
        <f t="shared" si="10"/>
        <v>8883614.16</v>
      </c>
      <c r="M31" s="96">
        <f t="shared" si="10"/>
        <v>0</v>
      </c>
      <c r="N31" s="96">
        <f t="shared" si="10"/>
        <v>3071714.17</v>
      </c>
      <c r="O31" s="96">
        <f t="shared" si="10"/>
        <v>1535857.08</v>
      </c>
      <c r="P31" s="96">
        <f t="shared" si="10"/>
        <v>4276042.91</v>
      </c>
      <c r="Q31" s="95">
        <f>L31/H31</f>
        <v>1240.5030036445896</v>
      </c>
      <c r="R31" s="96"/>
      <c r="S31" s="206"/>
      <c r="T31" s="119"/>
      <c r="U31" s="203"/>
      <c r="V31" s="105">
        <f>L31*0.6</f>
        <v>5330168.496</v>
      </c>
      <c r="W31" s="105">
        <f>L31*0.2</f>
        <v>1776722.8320000002</v>
      </c>
      <c r="X31" s="105">
        <f>L31-'раздел 4'!C33</f>
        <v>0</v>
      </c>
    </row>
    <row r="32" spans="1:24" s="97" customFormat="1" ht="15" customHeight="1">
      <c r="A32" s="307" t="s">
        <v>196</v>
      </c>
      <c r="B32" s="307"/>
      <c r="C32" s="307"/>
      <c r="D32" s="206"/>
      <c r="E32" s="206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195"/>
      <c r="V32" s="105">
        <f t="shared" si="0"/>
        <v>0</v>
      </c>
      <c r="W32" s="105">
        <f t="shared" si="1"/>
        <v>0</v>
      </c>
      <c r="X32" s="105">
        <f>L32-'раздел 4'!C34</f>
        <v>0</v>
      </c>
    </row>
    <row r="33" spans="1:25" s="97" customFormat="1" ht="13.5">
      <c r="A33" s="1">
        <f>A30+1</f>
        <v>8</v>
      </c>
      <c r="B33" s="28" t="s">
        <v>194</v>
      </c>
      <c r="C33" s="206">
        <v>1990</v>
      </c>
      <c r="D33" s="206"/>
      <c r="E33" s="206" t="s">
        <v>29</v>
      </c>
      <c r="F33" s="206">
        <v>13</v>
      </c>
      <c r="G33" s="206">
        <v>1</v>
      </c>
      <c r="H33" s="95">
        <v>2095</v>
      </c>
      <c r="I33" s="96">
        <v>1717.1</v>
      </c>
      <c r="J33" s="206">
        <v>1363.18</v>
      </c>
      <c r="K33" s="99">
        <v>133</v>
      </c>
      <c r="L33" s="96">
        <f>'раздел 4'!C35</f>
        <v>507701.51</v>
      </c>
      <c r="M33" s="96">
        <v>0</v>
      </c>
      <c r="N33" s="96">
        <v>304620.91</v>
      </c>
      <c r="O33" s="96">
        <v>101540.3</v>
      </c>
      <c r="P33" s="96">
        <f>L33-N33-O33</f>
        <v>101540.30000000003</v>
      </c>
      <c r="Q33" s="95">
        <f>L33/H33</f>
        <v>242.3396229116945</v>
      </c>
      <c r="R33" s="96">
        <v>42000</v>
      </c>
      <c r="S33" s="126" t="s">
        <v>401</v>
      </c>
      <c r="T33" s="101" t="s">
        <v>318</v>
      </c>
      <c r="U33" s="86"/>
      <c r="V33" s="105">
        <f t="shared" si="0"/>
        <v>304620.906</v>
      </c>
      <c r="W33" s="105">
        <f t="shared" si="1"/>
        <v>101540.30200000001</v>
      </c>
      <c r="X33" s="105">
        <f>L33-'раздел 4'!C35</f>
        <v>0</v>
      </c>
      <c r="Y33" s="97" t="s">
        <v>197</v>
      </c>
    </row>
    <row r="34" spans="1:24" s="97" customFormat="1" ht="13.5">
      <c r="A34" s="223">
        <f>A33+1</f>
        <v>9</v>
      </c>
      <c r="B34" s="28" t="s">
        <v>195</v>
      </c>
      <c r="C34" s="206">
        <v>1982</v>
      </c>
      <c r="D34" s="206"/>
      <c r="E34" s="206" t="s">
        <v>29</v>
      </c>
      <c r="F34" s="206">
        <v>7</v>
      </c>
      <c r="G34" s="206">
        <v>4</v>
      </c>
      <c r="H34" s="95">
        <v>7905</v>
      </c>
      <c r="I34" s="95">
        <v>4619.5</v>
      </c>
      <c r="J34" s="95">
        <v>4300.1</v>
      </c>
      <c r="K34" s="99">
        <v>342</v>
      </c>
      <c r="L34" s="96">
        <f>'раздел 4'!C36</f>
        <v>939646.37</v>
      </c>
      <c r="M34" s="96">
        <v>0</v>
      </c>
      <c r="N34" s="96">
        <v>563787.83</v>
      </c>
      <c r="O34" s="96">
        <v>187929.27</v>
      </c>
      <c r="P34" s="96">
        <f>L34-N34-O34</f>
        <v>187929.27000000005</v>
      </c>
      <c r="Q34" s="95">
        <f>L34/H34</f>
        <v>118.86734598355471</v>
      </c>
      <c r="R34" s="96">
        <v>42000</v>
      </c>
      <c r="S34" s="126" t="s">
        <v>401</v>
      </c>
      <c r="T34" s="101" t="s">
        <v>318</v>
      </c>
      <c r="U34" s="86"/>
      <c r="V34" s="105">
        <f t="shared" si="0"/>
        <v>563787.8219999999</v>
      </c>
      <c r="W34" s="105">
        <f t="shared" si="1"/>
        <v>187929.274</v>
      </c>
      <c r="X34" s="105">
        <f>L34-'раздел 4'!C36</f>
        <v>0</v>
      </c>
    </row>
    <row r="35" spans="1:24" s="97" customFormat="1" ht="13.5">
      <c r="A35" s="223">
        <f>A34+1</f>
        <v>10</v>
      </c>
      <c r="B35" s="28" t="s">
        <v>198</v>
      </c>
      <c r="C35" s="206">
        <v>1957</v>
      </c>
      <c r="D35" s="206"/>
      <c r="E35" s="206" t="s">
        <v>29</v>
      </c>
      <c r="F35" s="206">
        <v>2</v>
      </c>
      <c r="G35" s="206">
        <v>3</v>
      </c>
      <c r="H35" s="95">
        <v>1433.77</v>
      </c>
      <c r="I35" s="95">
        <v>877.3</v>
      </c>
      <c r="J35" s="95">
        <v>804.7</v>
      </c>
      <c r="K35" s="99">
        <v>65</v>
      </c>
      <c r="L35" s="96">
        <f>'раздел 4'!C37</f>
        <v>347522.67</v>
      </c>
      <c r="M35" s="96"/>
      <c r="N35" s="96">
        <v>208513.61</v>
      </c>
      <c r="O35" s="96">
        <v>69504.53</v>
      </c>
      <c r="P35" s="96">
        <f>L35-N35-O35</f>
        <v>69504.53</v>
      </c>
      <c r="Q35" s="95">
        <f>L35/H35</f>
        <v>242.38383422724704</v>
      </c>
      <c r="R35" s="96">
        <v>42000</v>
      </c>
      <c r="S35" s="126" t="s">
        <v>401</v>
      </c>
      <c r="T35" s="101" t="s">
        <v>318</v>
      </c>
      <c r="U35" s="86"/>
      <c r="V35" s="105">
        <f t="shared" si="0"/>
        <v>208513.60199999998</v>
      </c>
      <c r="W35" s="105">
        <f t="shared" si="1"/>
        <v>69504.534</v>
      </c>
      <c r="X35" s="105">
        <f>L35-'раздел 4'!C37</f>
        <v>0</v>
      </c>
    </row>
    <row r="36" spans="1:24" s="97" customFormat="1" ht="13.5">
      <c r="A36" s="357" t="s">
        <v>64</v>
      </c>
      <c r="B36" s="357"/>
      <c r="C36" s="32" t="s">
        <v>37</v>
      </c>
      <c r="D36" s="32" t="s">
        <v>37</v>
      </c>
      <c r="E36" s="32" t="s">
        <v>37</v>
      </c>
      <c r="F36" s="32" t="s">
        <v>37</v>
      </c>
      <c r="G36" s="32" t="s">
        <v>37</v>
      </c>
      <c r="H36" s="95">
        <f>SUM(H33:H35)</f>
        <v>11433.77</v>
      </c>
      <c r="I36" s="95">
        <f aca="true" t="shared" si="11" ref="I36:P36">SUM(I33:I35)</f>
        <v>7213.900000000001</v>
      </c>
      <c r="J36" s="95">
        <f t="shared" si="11"/>
        <v>6467.9800000000005</v>
      </c>
      <c r="K36" s="99">
        <f t="shared" si="11"/>
        <v>540</v>
      </c>
      <c r="L36" s="96">
        <f t="shared" si="11"/>
        <v>1794870.5499999998</v>
      </c>
      <c r="M36" s="96">
        <f t="shared" si="11"/>
        <v>0</v>
      </c>
      <c r="N36" s="96">
        <f t="shared" si="11"/>
        <v>1076922.35</v>
      </c>
      <c r="O36" s="96">
        <f t="shared" si="11"/>
        <v>358974.1</v>
      </c>
      <c r="P36" s="96">
        <f t="shared" si="11"/>
        <v>358974.1000000001</v>
      </c>
      <c r="Q36" s="95">
        <f>SUM(Q33:Q34)</f>
        <v>361.20696889524925</v>
      </c>
      <c r="R36" s="96"/>
      <c r="S36" s="206"/>
      <c r="T36" s="206"/>
      <c r="U36" s="105">
        <f>L36-N36-O36-P36</f>
        <v>0</v>
      </c>
      <c r="V36" s="105">
        <f t="shared" si="0"/>
        <v>1076922.3299999998</v>
      </c>
      <c r="W36" s="105">
        <f t="shared" si="1"/>
        <v>358974.11</v>
      </c>
      <c r="X36" s="105">
        <f>L36-'раздел 4'!C38</f>
        <v>0</v>
      </c>
    </row>
    <row r="37" spans="1:24" s="97" customFormat="1" ht="13.5">
      <c r="A37" s="344" t="s">
        <v>70</v>
      </c>
      <c r="B37" s="344"/>
      <c r="C37" s="344"/>
      <c r="D37" s="110" t="s">
        <v>37</v>
      </c>
      <c r="E37" s="110" t="s">
        <v>37</v>
      </c>
      <c r="F37" s="110" t="s">
        <v>37</v>
      </c>
      <c r="G37" s="110" t="s">
        <v>37</v>
      </c>
      <c r="H37" s="29">
        <f>H36+H31</f>
        <v>18595.07</v>
      </c>
      <c r="I37" s="29">
        <f aca="true" t="shared" si="12" ref="I37:Q37">I36+I31</f>
        <v>14375.2</v>
      </c>
      <c r="J37" s="29">
        <f t="shared" si="12"/>
        <v>12654.68</v>
      </c>
      <c r="K37" s="29">
        <f t="shared" si="12"/>
        <v>814</v>
      </c>
      <c r="L37" s="73">
        <f t="shared" si="12"/>
        <v>10678484.71</v>
      </c>
      <c r="M37" s="73">
        <f t="shared" si="12"/>
        <v>0</v>
      </c>
      <c r="N37" s="73">
        <f t="shared" si="12"/>
        <v>4148636.52</v>
      </c>
      <c r="O37" s="73">
        <f t="shared" si="12"/>
        <v>1894831.1800000002</v>
      </c>
      <c r="P37" s="73">
        <f t="shared" si="12"/>
        <v>4635017.01</v>
      </c>
      <c r="Q37" s="29">
        <f t="shared" si="12"/>
        <v>1601.7099725398389</v>
      </c>
      <c r="R37" s="73"/>
      <c r="S37" s="195"/>
      <c r="T37" s="195"/>
      <c r="U37" s="105">
        <f>L37-N37-O37-P37</f>
        <v>0</v>
      </c>
      <c r="V37" s="105">
        <f t="shared" si="0"/>
        <v>6407090.826</v>
      </c>
      <c r="W37" s="105">
        <f t="shared" si="1"/>
        <v>2135696.9420000003</v>
      </c>
      <c r="X37" s="105">
        <f>L37-'раздел 4'!C39</f>
        <v>0</v>
      </c>
    </row>
    <row r="38" spans="1:24" s="97" customFormat="1" ht="15" customHeight="1">
      <c r="A38" s="360" t="s">
        <v>391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2"/>
      <c r="U38" s="209"/>
      <c r="V38" s="105">
        <f t="shared" si="0"/>
        <v>0</v>
      </c>
      <c r="W38" s="105">
        <f t="shared" si="1"/>
        <v>0</v>
      </c>
      <c r="X38" s="105">
        <f>L38-'раздел 4'!C40</f>
        <v>0</v>
      </c>
    </row>
    <row r="39" spans="1:25" s="97" customFormat="1" ht="15" customHeight="1">
      <c r="A39" s="307" t="s">
        <v>259</v>
      </c>
      <c r="B39" s="307"/>
      <c r="C39" s="307"/>
      <c r="D39" s="208"/>
      <c r="E39" s="208"/>
      <c r="F39" s="208"/>
      <c r="G39" s="208"/>
      <c r="H39" s="208"/>
      <c r="I39" s="208"/>
      <c r="J39" s="208"/>
      <c r="K39" s="157"/>
      <c r="L39" s="274"/>
      <c r="M39" s="274"/>
      <c r="N39" s="274"/>
      <c r="O39" s="274"/>
      <c r="P39" s="274"/>
      <c r="Q39" s="208"/>
      <c r="R39" s="274"/>
      <c r="S39" s="208"/>
      <c r="T39" s="209"/>
      <c r="U39" s="209"/>
      <c r="V39" s="105">
        <f t="shared" si="0"/>
        <v>0</v>
      </c>
      <c r="W39" s="105">
        <f t="shared" si="1"/>
        <v>0</v>
      </c>
      <c r="X39" s="105">
        <f>L39-'раздел 4'!C41</f>
        <v>0</v>
      </c>
      <c r="Y39" s="97" t="s">
        <v>197</v>
      </c>
    </row>
    <row r="40" spans="1:24" s="97" customFormat="1" ht="15" customHeight="1">
      <c r="A40" s="223">
        <f>A35+1</f>
        <v>11</v>
      </c>
      <c r="B40" s="102" t="s">
        <v>200</v>
      </c>
      <c r="C40" s="207">
        <v>1961</v>
      </c>
      <c r="D40" s="207"/>
      <c r="E40" s="207" t="s">
        <v>330</v>
      </c>
      <c r="F40" s="207">
        <v>3</v>
      </c>
      <c r="G40" s="207">
        <v>3</v>
      </c>
      <c r="H40" s="218">
        <v>930.3</v>
      </c>
      <c r="I40" s="218">
        <v>930.3</v>
      </c>
      <c r="J40" s="207"/>
      <c r="K40" s="87">
        <v>65</v>
      </c>
      <c r="L40" s="96">
        <f>'раздел 4'!C42</f>
        <v>236137.56</v>
      </c>
      <c r="M40" s="275"/>
      <c r="N40" s="96">
        <f>L40*0.6</f>
        <v>141682.536</v>
      </c>
      <c r="O40" s="96">
        <f>L40*0.2</f>
        <v>47227.512</v>
      </c>
      <c r="P40" s="96">
        <f>L40-N40-O40</f>
        <v>47227.512</v>
      </c>
      <c r="Q40" s="95">
        <f>L40/H40</f>
        <v>253.8294743631087</v>
      </c>
      <c r="R40" s="96">
        <v>42000</v>
      </c>
      <c r="S40" s="126" t="s">
        <v>401</v>
      </c>
      <c r="T40" s="101" t="s">
        <v>318</v>
      </c>
      <c r="U40" s="209"/>
      <c r="V40" s="105">
        <f t="shared" si="0"/>
        <v>141682.536</v>
      </c>
      <c r="W40" s="105">
        <f t="shared" si="1"/>
        <v>47227.512</v>
      </c>
      <c r="X40" s="105">
        <f>L40-'раздел 4'!C42</f>
        <v>0</v>
      </c>
    </row>
    <row r="41" spans="1:24" s="97" customFormat="1" ht="15" customHeight="1">
      <c r="A41" s="223">
        <f>A40+1</f>
        <v>12</v>
      </c>
      <c r="B41" s="102" t="s">
        <v>201</v>
      </c>
      <c r="C41" s="207">
        <v>1955</v>
      </c>
      <c r="D41" s="207"/>
      <c r="E41" s="219" t="s">
        <v>29</v>
      </c>
      <c r="F41" s="207">
        <v>2</v>
      </c>
      <c r="G41" s="207">
        <v>2</v>
      </c>
      <c r="H41" s="219">
        <v>614.08</v>
      </c>
      <c r="I41" s="219">
        <v>614.08</v>
      </c>
      <c r="J41" s="207"/>
      <c r="K41" s="87">
        <v>62</v>
      </c>
      <c r="L41" s="96">
        <f>'раздел 4'!C43</f>
        <v>197987.52</v>
      </c>
      <c r="M41" s="275"/>
      <c r="N41" s="96">
        <v>118792.52</v>
      </c>
      <c r="O41" s="96">
        <v>39597.5</v>
      </c>
      <c r="P41" s="96">
        <f>L41-N41-O41</f>
        <v>39597.499999999985</v>
      </c>
      <c r="Q41" s="95">
        <f>L41/H41</f>
        <v>322.4132360604481</v>
      </c>
      <c r="R41" s="96">
        <v>42000</v>
      </c>
      <c r="S41" s="126" t="s">
        <v>401</v>
      </c>
      <c r="T41" s="209"/>
      <c r="U41" s="105">
        <f>L41-N41-O41-P41</f>
        <v>0</v>
      </c>
      <c r="V41" s="105">
        <f t="shared" si="0"/>
        <v>118792.51199999999</v>
      </c>
      <c r="W41" s="105">
        <f t="shared" si="1"/>
        <v>39597.504</v>
      </c>
      <c r="X41" s="105">
        <f>L41-'раздел 4'!C43</f>
        <v>0</v>
      </c>
    </row>
    <row r="42" spans="1:24" s="97" customFormat="1" ht="15" customHeight="1">
      <c r="A42" s="371" t="s">
        <v>64</v>
      </c>
      <c r="B42" s="371"/>
      <c r="C42" s="32" t="s">
        <v>37</v>
      </c>
      <c r="D42" s="32" t="s">
        <v>37</v>
      </c>
      <c r="E42" s="32" t="s">
        <v>37</v>
      </c>
      <c r="F42" s="32" t="s">
        <v>37</v>
      </c>
      <c r="G42" s="32" t="s">
        <v>37</v>
      </c>
      <c r="H42" s="95">
        <f aca="true" t="shared" si="13" ref="H42:P42">SUM(H40:H41)</f>
        <v>1544.38</v>
      </c>
      <c r="I42" s="95">
        <f t="shared" si="13"/>
        <v>1544.38</v>
      </c>
      <c r="J42" s="95">
        <f t="shared" si="13"/>
        <v>0</v>
      </c>
      <c r="K42" s="99">
        <f t="shared" si="13"/>
        <v>127</v>
      </c>
      <c r="L42" s="96">
        <f t="shared" si="13"/>
        <v>434125.07999999996</v>
      </c>
      <c r="M42" s="96">
        <f t="shared" si="13"/>
        <v>0</v>
      </c>
      <c r="N42" s="96">
        <f t="shared" si="13"/>
        <v>260475.05599999998</v>
      </c>
      <c r="O42" s="96">
        <f t="shared" si="13"/>
        <v>86825.012</v>
      </c>
      <c r="P42" s="96">
        <f t="shared" si="13"/>
        <v>86825.01199999999</v>
      </c>
      <c r="Q42" s="95">
        <f>L42/H42</f>
        <v>281.09991064375345</v>
      </c>
      <c r="R42" s="275"/>
      <c r="S42" s="110"/>
      <c r="T42" s="76"/>
      <c r="U42" s="209"/>
      <c r="V42" s="105">
        <f t="shared" si="0"/>
        <v>260475.04799999995</v>
      </c>
      <c r="W42" s="105">
        <f t="shared" si="1"/>
        <v>86825.016</v>
      </c>
      <c r="X42" s="105">
        <f>L42-'раздел 4'!C44</f>
        <v>0</v>
      </c>
    </row>
    <row r="43" spans="1:25" s="97" customFormat="1" ht="15" customHeight="1">
      <c r="A43" s="307" t="s">
        <v>72</v>
      </c>
      <c r="B43" s="307"/>
      <c r="C43" s="307"/>
      <c r="D43" s="206"/>
      <c r="E43" s="206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195"/>
      <c r="V43" s="105">
        <f t="shared" si="0"/>
        <v>0</v>
      </c>
      <c r="W43" s="105">
        <f t="shared" si="1"/>
        <v>0</v>
      </c>
      <c r="X43" s="105">
        <f>L43-'раздел 4'!C45</f>
        <v>0</v>
      </c>
      <c r="Y43" s="97" t="s">
        <v>197</v>
      </c>
    </row>
    <row r="44" spans="1:24" s="97" customFormat="1" ht="15" customHeight="1">
      <c r="A44" s="223">
        <f>A41+1</f>
        <v>13</v>
      </c>
      <c r="B44" s="24" t="s">
        <v>139</v>
      </c>
      <c r="C44" s="128" t="s">
        <v>34</v>
      </c>
      <c r="D44" s="128"/>
      <c r="E44" s="207" t="s">
        <v>27</v>
      </c>
      <c r="F44" s="129" t="s">
        <v>140</v>
      </c>
      <c r="G44" s="129">
        <v>3</v>
      </c>
      <c r="H44" s="129">
        <v>5809.49</v>
      </c>
      <c r="I44" s="129">
        <v>5209.49</v>
      </c>
      <c r="J44" s="130">
        <v>4944.01</v>
      </c>
      <c r="K44" s="160">
        <v>164</v>
      </c>
      <c r="L44" s="96">
        <f>'раздел 4'!C46</f>
        <v>1135016.37</v>
      </c>
      <c r="M44" s="96">
        <v>0</v>
      </c>
      <c r="N44" s="96">
        <v>681009.83</v>
      </c>
      <c r="O44" s="96">
        <v>227003.27</v>
      </c>
      <c r="P44" s="96">
        <f>L44-N44-O44</f>
        <v>227003.27000000016</v>
      </c>
      <c r="Q44" s="95">
        <f>L44/H44</f>
        <v>195.37280725158323</v>
      </c>
      <c r="R44" s="96">
        <v>42000</v>
      </c>
      <c r="S44" s="126" t="s">
        <v>401</v>
      </c>
      <c r="T44" s="101" t="s">
        <v>318</v>
      </c>
      <c r="U44" s="86"/>
      <c r="V44" s="105">
        <f t="shared" si="0"/>
        <v>681009.822</v>
      </c>
      <c r="W44" s="105">
        <f t="shared" si="1"/>
        <v>227003.27400000003</v>
      </c>
      <c r="X44" s="105">
        <f>L44-'раздел 4'!C46</f>
        <v>0</v>
      </c>
    </row>
    <row r="45" spans="1:24" s="97" customFormat="1" ht="15" customHeight="1">
      <c r="A45" s="223">
        <f aca="true" t="shared" si="14" ref="A45:A59">A44+1</f>
        <v>14</v>
      </c>
      <c r="B45" s="24" t="s">
        <v>169</v>
      </c>
      <c r="C45" s="128">
        <v>1957</v>
      </c>
      <c r="D45" s="128"/>
      <c r="E45" s="207" t="s">
        <v>27</v>
      </c>
      <c r="F45" s="129">
        <v>2</v>
      </c>
      <c r="G45" s="129">
        <v>2</v>
      </c>
      <c r="H45" s="129">
        <v>703.28</v>
      </c>
      <c r="I45" s="129">
        <v>703.28</v>
      </c>
      <c r="J45" s="130">
        <v>581.1</v>
      </c>
      <c r="K45" s="160">
        <v>42</v>
      </c>
      <c r="L45" s="96">
        <f>'раздел 4'!C47</f>
        <v>185215.75</v>
      </c>
      <c r="M45" s="96"/>
      <c r="N45" s="96">
        <v>111129.45</v>
      </c>
      <c r="O45" s="96">
        <v>37043.15</v>
      </c>
      <c r="P45" s="96">
        <f aca="true" t="shared" si="15" ref="P45:P59">L45-N45-O45</f>
        <v>37043.15</v>
      </c>
      <c r="Q45" s="95">
        <f aca="true" t="shared" si="16" ref="Q45:Q59">L45/H45</f>
        <v>263.35989932885906</v>
      </c>
      <c r="R45" s="96">
        <v>42000</v>
      </c>
      <c r="S45" s="126" t="s">
        <v>401</v>
      </c>
      <c r="T45" s="101" t="s">
        <v>318</v>
      </c>
      <c r="U45" s="86"/>
      <c r="V45" s="105">
        <f t="shared" si="0"/>
        <v>111129.45</v>
      </c>
      <c r="W45" s="105">
        <f t="shared" si="1"/>
        <v>37043.15</v>
      </c>
      <c r="X45" s="105">
        <f>L45-'раздел 4'!C47</f>
        <v>0</v>
      </c>
    </row>
    <row r="46" spans="1:24" s="97" customFormat="1" ht="15" customHeight="1">
      <c r="A46" s="223">
        <f t="shared" si="14"/>
        <v>15</v>
      </c>
      <c r="B46" s="24" t="s">
        <v>170</v>
      </c>
      <c r="C46" s="206">
        <v>1977</v>
      </c>
      <c r="D46" s="206"/>
      <c r="E46" s="104" t="s">
        <v>36</v>
      </c>
      <c r="F46" s="206">
        <v>5</v>
      </c>
      <c r="G46" s="206">
        <v>6</v>
      </c>
      <c r="H46" s="95">
        <v>4410.7</v>
      </c>
      <c r="I46" s="95">
        <v>4410.7</v>
      </c>
      <c r="J46" s="95">
        <v>3207.82</v>
      </c>
      <c r="K46" s="99">
        <v>233</v>
      </c>
      <c r="L46" s="96">
        <f>'раздел 4'!C48</f>
        <v>381870.46</v>
      </c>
      <c r="M46" s="96"/>
      <c r="N46" s="96">
        <v>229122.28</v>
      </c>
      <c r="O46" s="96">
        <v>76374.09</v>
      </c>
      <c r="P46" s="96">
        <f t="shared" si="15"/>
        <v>76374.09000000003</v>
      </c>
      <c r="Q46" s="95">
        <f t="shared" si="16"/>
        <v>86.57819847189789</v>
      </c>
      <c r="R46" s="96">
        <v>42000</v>
      </c>
      <c r="S46" s="126" t="s">
        <v>401</v>
      </c>
      <c r="T46" s="101" t="s">
        <v>318</v>
      </c>
      <c r="U46" s="86"/>
      <c r="V46" s="105">
        <f t="shared" si="0"/>
        <v>229122.276</v>
      </c>
      <c r="W46" s="105">
        <f t="shared" si="1"/>
        <v>76374.092</v>
      </c>
      <c r="X46" s="105">
        <f>L46-'раздел 4'!C48</f>
        <v>0</v>
      </c>
    </row>
    <row r="47" spans="1:24" s="97" customFormat="1" ht="15" customHeight="1">
      <c r="A47" s="223">
        <f t="shared" si="14"/>
        <v>16</v>
      </c>
      <c r="B47" s="24" t="s">
        <v>171</v>
      </c>
      <c r="C47" s="128">
        <v>1940</v>
      </c>
      <c r="D47" s="128"/>
      <c r="E47" s="207" t="s">
        <v>27</v>
      </c>
      <c r="F47" s="129">
        <v>2</v>
      </c>
      <c r="G47" s="129">
        <v>1</v>
      </c>
      <c r="H47" s="129">
        <v>373.4</v>
      </c>
      <c r="I47" s="129">
        <v>373.4</v>
      </c>
      <c r="J47" s="130">
        <v>44.72</v>
      </c>
      <c r="K47" s="160">
        <v>28</v>
      </c>
      <c r="L47" s="96">
        <f>'раздел 4'!C49</f>
        <v>193326.55</v>
      </c>
      <c r="M47" s="96"/>
      <c r="N47" s="96">
        <v>115995.93</v>
      </c>
      <c r="O47" s="96">
        <v>38665.31</v>
      </c>
      <c r="P47" s="96">
        <f t="shared" si="15"/>
        <v>38665.31</v>
      </c>
      <c r="Q47" s="95">
        <f t="shared" si="16"/>
        <v>517.7465184788431</v>
      </c>
      <c r="R47" s="96">
        <v>42000</v>
      </c>
      <c r="S47" s="126" t="s">
        <v>401</v>
      </c>
      <c r="T47" s="101" t="s">
        <v>318</v>
      </c>
      <c r="U47" s="86"/>
      <c r="V47" s="105">
        <f t="shared" si="0"/>
        <v>115995.93</v>
      </c>
      <c r="W47" s="105">
        <f t="shared" si="1"/>
        <v>38665.31</v>
      </c>
      <c r="X47" s="105">
        <f>L47-'раздел 4'!C49</f>
        <v>0</v>
      </c>
    </row>
    <row r="48" spans="1:24" s="97" customFormat="1" ht="15" customHeight="1">
      <c r="A48" s="223">
        <f t="shared" si="14"/>
        <v>17</v>
      </c>
      <c r="B48" s="24" t="s">
        <v>172</v>
      </c>
      <c r="C48" s="128">
        <v>1940</v>
      </c>
      <c r="D48" s="128"/>
      <c r="E48" s="207" t="s">
        <v>27</v>
      </c>
      <c r="F48" s="129">
        <v>5</v>
      </c>
      <c r="G48" s="129">
        <v>2</v>
      </c>
      <c r="H48" s="129">
        <v>1819.5</v>
      </c>
      <c r="I48" s="129">
        <v>1325.8</v>
      </c>
      <c r="J48" s="130">
        <v>801.22</v>
      </c>
      <c r="K48" s="160">
        <v>46</v>
      </c>
      <c r="L48" s="96">
        <f>'раздел 4'!C50</f>
        <v>367045.66</v>
      </c>
      <c r="M48" s="96"/>
      <c r="N48" s="96">
        <v>220227.4</v>
      </c>
      <c r="O48" s="96">
        <v>73409.13</v>
      </c>
      <c r="P48" s="96">
        <f t="shared" si="15"/>
        <v>73409.12999999998</v>
      </c>
      <c r="Q48" s="95">
        <f t="shared" si="16"/>
        <v>201.7288595768068</v>
      </c>
      <c r="R48" s="96">
        <v>42000</v>
      </c>
      <c r="S48" s="126" t="s">
        <v>401</v>
      </c>
      <c r="T48" s="101" t="s">
        <v>318</v>
      </c>
      <c r="U48" s="86"/>
      <c r="V48" s="105">
        <f t="shared" si="0"/>
        <v>220227.39599999998</v>
      </c>
      <c r="W48" s="105">
        <f t="shared" si="1"/>
        <v>73409.132</v>
      </c>
      <c r="X48" s="105">
        <f>L48-'раздел 4'!C50</f>
        <v>0</v>
      </c>
    </row>
    <row r="49" spans="1:24" s="97" customFormat="1" ht="15" customHeight="1">
      <c r="A49" s="223">
        <f t="shared" si="14"/>
        <v>18</v>
      </c>
      <c r="B49" s="24" t="s">
        <v>173</v>
      </c>
      <c r="C49" s="128">
        <v>1954</v>
      </c>
      <c r="D49" s="128"/>
      <c r="E49" s="207" t="s">
        <v>27</v>
      </c>
      <c r="F49" s="129">
        <v>2</v>
      </c>
      <c r="G49" s="129">
        <v>2</v>
      </c>
      <c r="H49" s="129">
        <v>394.61</v>
      </c>
      <c r="I49" s="129">
        <v>394.61</v>
      </c>
      <c r="J49" s="130">
        <v>104.45</v>
      </c>
      <c r="K49" s="160">
        <v>32</v>
      </c>
      <c r="L49" s="96">
        <f>'раздел 4'!C51</f>
        <v>140747.46</v>
      </c>
      <c r="M49" s="96"/>
      <c r="N49" s="96">
        <v>84448.48</v>
      </c>
      <c r="O49" s="96">
        <v>28149.49</v>
      </c>
      <c r="P49" s="96">
        <f t="shared" si="15"/>
        <v>28149.489999999994</v>
      </c>
      <c r="Q49" s="95">
        <f t="shared" si="16"/>
        <v>356.67484351638325</v>
      </c>
      <c r="R49" s="96">
        <v>42000</v>
      </c>
      <c r="S49" s="126" t="s">
        <v>401</v>
      </c>
      <c r="T49" s="101" t="s">
        <v>318</v>
      </c>
      <c r="U49" s="86"/>
      <c r="V49" s="105">
        <f t="shared" si="0"/>
        <v>84448.476</v>
      </c>
      <c r="W49" s="105">
        <f t="shared" si="1"/>
        <v>28149.492</v>
      </c>
      <c r="X49" s="105">
        <f>L49-'раздел 4'!C51</f>
        <v>0</v>
      </c>
    </row>
    <row r="50" spans="1:24" s="97" customFormat="1" ht="19.5" customHeight="1">
      <c r="A50" s="223">
        <f t="shared" si="14"/>
        <v>19</v>
      </c>
      <c r="B50" s="24" t="s">
        <v>174</v>
      </c>
      <c r="C50" s="128">
        <v>1976</v>
      </c>
      <c r="D50" s="128"/>
      <c r="E50" s="207" t="s">
        <v>27</v>
      </c>
      <c r="F50" s="129">
        <v>9</v>
      </c>
      <c r="G50" s="129">
        <v>5</v>
      </c>
      <c r="H50" s="129">
        <v>6811.03</v>
      </c>
      <c r="I50" s="129">
        <v>6466.34</v>
      </c>
      <c r="J50" s="130">
        <v>6110.38</v>
      </c>
      <c r="K50" s="160">
        <v>255</v>
      </c>
      <c r="L50" s="96">
        <f>'раздел 4'!C52</f>
        <v>1871824.06</v>
      </c>
      <c r="M50" s="96"/>
      <c r="N50" s="96">
        <v>1123094.44</v>
      </c>
      <c r="O50" s="96">
        <v>374364.81</v>
      </c>
      <c r="P50" s="96">
        <f t="shared" si="15"/>
        <v>374364.8100000001</v>
      </c>
      <c r="Q50" s="95">
        <f t="shared" si="16"/>
        <v>274.82246591191057</v>
      </c>
      <c r="R50" s="96">
        <v>42000</v>
      </c>
      <c r="S50" s="126" t="s">
        <v>401</v>
      </c>
      <c r="T50" s="220" t="s">
        <v>350</v>
      </c>
      <c r="U50" s="86"/>
      <c r="V50" s="105">
        <f t="shared" si="0"/>
        <v>1123094.436</v>
      </c>
      <c r="W50" s="105">
        <f t="shared" si="1"/>
        <v>374364.81200000003</v>
      </c>
      <c r="X50" s="105">
        <f>L50-'раздел 4'!C52</f>
        <v>0</v>
      </c>
    </row>
    <row r="51" spans="1:24" s="97" customFormat="1" ht="15" customHeight="1">
      <c r="A51" s="223">
        <f t="shared" si="14"/>
        <v>20</v>
      </c>
      <c r="B51" s="24" t="s">
        <v>342</v>
      </c>
      <c r="C51" s="128">
        <v>1973</v>
      </c>
      <c r="D51" s="128"/>
      <c r="E51" s="207" t="s">
        <v>27</v>
      </c>
      <c r="F51" s="129">
        <v>6</v>
      </c>
      <c r="G51" s="129">
        <v>1</v>
      </c>
      <c r="H51" s="129">
        <v>1344.91</v>
      </c>
      <c r="I51" s="129">
        <v>1116.27</v>
      </c>
      <c r="J51" s="130">
        <v>893.11</v>
      </c>
      <c r="K51" s="160">
        <v>55</v>
      </c>
      <c r="L51" s="96">
        <f>'раздел 4'!C53</f>
        <v>1059376.83</v>
      </c>
      <c r="M51" s="96"/>
      <c r="N51" s="96">
        <v>635626.09</v>
      </c>
      <c r="O51" s="96">
        <v>211875.37</v>
      </c>
      <c r="P51" s="96">
        <f t="shared" si="15"/>
        <v>211875.3700000001</v>
      </c>
      <c r="Q51" s="95">
        <f t="shared" si="16"/>
        <v>787.6934739127526</v>
      </c>
      <c r="R51" s="96">
        <v>42000</v>
      </c>
      <c r="S51" s="126" t="s">
        <v>401</v>
      </c>
      <c r="T51" s="101" t="s">
        <v>318</v>
      </c>
      <c r="U51" s="86"/>
      <c r="V51" s="105">
        <f t="shared" si="0"/>
        <v>635626.098</v>
      </c>
      <c r="W51" s="105">
        <f t="shared" si="1"/>
        <v>211875.36600000004</v>
      </c>
      <c r="X51" s="105">
        <f>L51-'раздел 4'!C53</f>
        <v>0</v>
      </c>
    </row>
    <row r="52" spans="1:24" s="97" customFormat="1" ht="15" customHeight="1">
      <c r="A52" s="223">
        <f t="shared" si="14"/>
        <v>21</v>
      </c>
      <c r="B52" s="24" t="s">
        <v>175</v>
      </c>
      <c r="C52" s="128" t="s">
        <v>183</v>
      </c>
      <c r="D52" s="128"/>
      <c r="E52" s="207" t="s">
        <v>27</v>
      </c>
      <c r="F52" s="129">
        <v>4</v>
      </c>
      <c r="G52" s="129">
        <v>2</v>
      </c>
      <c r="H52" s="129">
        <v>1026.22</v>
      </c>
      <c r="I52" s="129">
        <v>1026.22</v>
      </c>
      <c r="J52" s="130">
        <v>847.5</v>
      </c>
      <c r="K52" s="160">
        <v>55</v>
      </c>
      <c r="L52" s="96">
        <f>'раздел 4'!C54</f>
        <v>600615.9890000001</v>
      </c>
      <c r="M52" s="96"/>
      <c r="N52" s="96">
        <v>360369.59</v>
      </c>
      <c r="O52" s="96">
        <v>120123.2</v>
      </c>
      <c r="P52" s="96">
        <f t="shared" si="15"/>
        <v>120123.19900000004</v>
      </c>
      <c r="Q52" s="95">
        <f t="shared" si="16"/>
        <v>585.2702042447039</v>
      </c>
      <c r="R52" s="96">
        <v>42000</v>
      </c>
      <c r="S52" s="126" t="s">
        <v>401</v>
      </c>
      <c r="T52" s="101" t="s">
        <v>318</v>
      </c>
      <c r="U52" s="86"/>
      <c r="V52" s="105">
        <f t="shared" si="0"/>
        <v>360369.5934</v>
      </c>
      <c r="W52" s="105">
        <f t="shared" si="1"/>
        <v>120123.19780000002</v>
      </c>
      <c r="X52" s="105">
        <f>L52-'раздел 4'!C54</f>
        <v>0</v>
      </c>
    </row>
    <row r="53" spans="1:24" s="97" customFormat="1" ht="15" customHeight="1">
      <c r="A53" s="223">
        <f t="shared" si="14"/>
        <v>22</v>
      </c>
      <c r="B53" s="197" t="s">
        <v>176</v>
      </c>
      <c r="C53" s="206">
        <v>1973</v>
      </c>
      <c r="D53" s="206"/>
      <c r="E53" s="206" t="s">
        <v>27</v>
      </c>
      <c r="F53" s="206">
        <v>5</v>
      </c>
      <c r="G53" s="206">
        <v>2</v>
      </c>
      <c r="H53" s="95">
        <v>4551.5</v>
      </c>
      <c r="I53" s="95">
        <v>3237.2</v>
      </c>
      <c r="J53" s="95">
        <v>2451.41</v>
      </c>
      <c r="K53" s="99">
        <v>215</v>
      </c>
      <c r="L53" s="96">
        <f>'раздел 4'!C55</f>
        <v>1004281.78</v>
      </c>
      <c r="M53" s="96"/>
      <c r="N53" s="96">
        <v>602569.06</v>
      </c>
      <c r="O53" s="96">
        <v>200856.36</v>
      </c>
      <c r="P53" s="96">
        <f t="shared" si="15"/>
        <v>200856.36</v>
      </c>
      <c r="Q53" s="95">
        <f t="shared" si="16"/>
        <v>220.64852905635504</v>
      </c>
      <c r="R53" s="96">
        <v>42000</v>
      </c>
      <c r="S53" s="126" t="s">
        <v>401</v>
      </c>
      <c r="T53" s="101" t="s">
        <v>318</v>
      </c>
      <c r="U53" s="86"/>
      <c r="V53" s="105">
        <f t="shared" si="0"/>
        <v>602569.068</v>
      </c>
      <c r="W53" s="105">
        <f t="shared" si="1"/>
        <v>200856.35600000003</v>
      </c>
      <c r="X53" s="105">
        <f>L53-'раздел 4'!C55</f>
        <v>0</v>
      </c>
    </row>
    <row r="54" spans="1:24" s="97" customFormat="1" ht="15" customHeight="1">
      <c r="A54" s="223">
        <f t="shared" si="14"/>
        <v>23</v>
      </c>
      <c r="B54" s="24" t="s">
        <v>177</v>
      </c>
      <c r="C54" s="128">
        <v>1972</v>
      </c>
      <c r="D54" s="128"/>
      <c r="E54" s="207" t="s">
        <v>36</v>
      </c>
      <c r="F54" s="129">
        <v>5</v>
      </c>
      <c r="G54" s="129">
        <v>8</v>
      </c>
      <c r="H54" s="129">
        <v>6267.25</v>
      </c>
      <c r="I54" s="129">
        <v>5504.73</v>
      </c>
      <c r="J54" s="130">
        <v>4239.54</v>
      </c>
      <c r="K54" s="160">
        <v>292</v>
      </c>
      <c r="L54" s="96">
        <f>'раздел 4'!C56</f>
        <v>520302.06</v>
      </c>
      <c r="M54" s="96"/>
      <c r="N54" s="96">
        <v>312181.24</v>
      </c>
      <c r="O54" s="96">
        <v>104060.41</v>
      </c>
      <c r="P54" s="96">
        <f t="shared" si="15"/>
        <v>104060.41</v>
      </c>
      <c r="Q54" s="95">
        <f t="shared" si="16"/>
        <v>83.01919661733615</v>
      </c>
      <c r="R54" s="96">
        <v>42000</v>
      </c>
      <c r="S54" s="126" t="s">
        <v>401</v>
      </c>
      <c r="T54" s="101" t="s">
        <v>318</v>
      </c>
      <c r="U54" s="86"/>
      <c r="V54" s="105">
        <f t="shared" si="0"/>
        <v>312181.236</v>
      </c>
      <c r="W54" s="105">
        <f t="shared" si="1"/>
        <v>104060.41200000001</v>
      </c>
      <c r="X54" s="105">
        <f>L54-'раздел 4'!C56</f>
        <v>0</v>
      </c>
    </row>
    <row r="55" spans="1:24" s="97" customFormat="1" ht="15" customHeight="1">
      <c r="A55" s="223">
        <f t="shared" si="14"/>
        <v>24</v>
      </c>
      <c r="B55" s="24" t="s">
        <v>178</v>
      </c>
      <c r="C55" s="128">
        <v>1940</v>
      </c>
      <c r="D55" s="128"/>
      <c r="E55" s="207" t="s">
        <v>27</v>
      </c>
      <c r="F55" s="129">
        <v>7</v>
      </c>
      <c r="G55" s="129">
        <v>2</v>
      </c>
      <c r="H55" s="129">
        <v>2161.86</v>
      </c>
      <c r="I55" s="129">
        <v>2119.42</v>
      </c>
      <c r="J55" s="130">
        <v>1781.34</v>
      </c>
      <c r="K55" s="160">
        <v>75</v>
      </c>
      <c r="L55" s="96">
        <f>'раздел 4'!C57</f>
        <v>462269.92</v>
      </c>
      <c r="M55" s="96"/>
      <c r="N55" s="96">
        <v>277361.96</v>
      </c>
      <c r="O55" s="96">
        <v>92453.98</v>
      </c>
      <c r="P55" s="96">
        <f t="shared" si="15"/>
        <v>92453.97999999997</v>
      </c>
      <c r="Q55" s="95">
        <f t="shared" si="16"/>
        <v>213.8297207034683</v>
      </c>
      <c r="R55" s="96">
        <v>42000</v>
      </c>
      <c r="S55" s="126" t="s">
        <v>401</v>
      </c>
      <c r="T55" s="101" t="s">
        <v>318</v>
      </c>
      <c r="U55" s="86"/>
      <c r="V55" s="105">
        <f t="shared" si="0"/>
        <v>277361.952</v>
      </c>
      <c r="W55" s="105">
        <f t="shared" si="1"/>
        <v>92453.984</v>
      </c>
      <c r="X55" s="105">
        <f>L55-'раздел 4'!C57</f>
        <v>0</v>
      </c>
    </row>
    <row r="56" spans="1:24" s="97" customFormat="1" ht="15" customHeight="1">
      <c r="A56" s="223">
        <f t="shared" si="14"/>
        <v>25</v>
      </c>
      <c r="B56" s="24" t="s">
        <v>179</v>
      </c>
      <c r="C56" s="128">
        <v>1960</v>
      </c>
      <c r="D56" s="128"/>
      <c r="E56" s="207" t="s">
        <v>27</v>
      </c>
      <c r="F56" s="129">
        <v>5</v>
      </c>
      <c r="G56" s="129">
        <v>2</v>
      </c>
      <c r="H56" s="129">
        <v>2479.38</v>
      </c>
      <c r="I56" s="129">
        <v>1758.52</v>
      </c>
      <c r="J56" s="130">
        <v>997.73</v>
      </c>
      <c r="K56" s="160">
        <v>92</v>
      </c>
      <c r="L56" s="96">
        <f>'раздел 4'!C58</f>
        <v>446543.82999999996</v>
      </c>
      <c r="M56" s="96"/>
      <c r="N56" s="96">
        <v>267926.29</v>
      </c>
      <c r="O56" s="96">
        <v>89308.77</v>
      </c>
      <c r="P56" s="96">
        <f t="shared" si="15"/>
        <v>89308.76999999997</v>
      </c>
      <c r="Q56" s="95">
        <f t="shared" si="16"/>
        <v>180.1030217231727</v>
      </c>
      <c r="R56" s="96">
        <v>42000</v>
      </c>
      <c r="S56" s="126" t="s">
        <v>401</v>
      </c>
      <c r="T56" s="101" t="s">
        <v>318</v>
      </c>
      <c r="U56" s="86"/>
      <c r="V56" s="105">
        <f t="shared" si="0"/>
        <v>267926.29799999995</v>
      </c>
      <c r="W56" s="105">
        <f t="shared" si="1"/>
        <v>89308.766</v>
      </c>
      <c r="X56" s="105">
        <f>L56-'раздел 4'!C58</f>
        <v>0</v>
      </c>
    </row>
    <row r="57" spans="1:24" s="97" customFormat="1" ht="15" customHeight="1">
      <c r="A57" s="223">
        <f t="shared" si="14"/>
        <v>26</v>
      </c>
      <c r="B57" s="197" t="s">
        <v>180</v>
      </c>
      <c r="C57" s="206" t="s">
        <v>34</v>
      </c>
      <c r="D57" s="206"/>
      <c r="E57" s="206" t="s">
        <v>27</v>
      </c>
      <c r="F57" s="206">
        <v>4</v>
      </c>
      <c r="G57" s="206">
        <v>4</v>
      </c>
      <c r="H57" s="95">
        <v>2142.88</v>
      </c>
      <c r="I57" s="95">
        <v>1972.43</v>
      </c>
      <c r="J57" s="95">
        <v>1790.4</v>
      </c>
      <c r="K57" s="99">
        <v>62</v>
      </c>
      <c r="L57" s="96">
        <f>'раздел 4'!C59</f>
        <v>1163660.81</v>
      </c>
      <c r="M57" s="96"/>
      <c r="N57" s="96">
        <v>698196.49</v>
      </c>
      <c r="O57" s="96">
        <v>232732.16</v>
      </c>
      <c r="P57" s="96">
        <f t="shared" si="15"/>
        <v>232732.16000000006</v>
      </c>
      <c r="Q57" s="95">
        <f t="shared" si="16"/>
        <v>543.0359189501978</v>
      </c>
      <c r="R57" s="96">
        <v>42000</v>
      </c>
      <c r="S57" s="126" t="s">
        <v>401</v>
      </c>
      <c r="T57" s="101" t="s">
        <v>318</v>
      </c>
      <c r="U57" s="86"/>
      <c r="V57" s="105">
        <f t="shared" si="0"/>
        <v>698196.486</v>
      </c>
      <c r="W57" s="105">
        <f t="shared" si="1"/>
        <v>232732.162</v>
      </c>
      <c r="X57" s="105">
        <f>L57-'раздел 4'!C59</f>
        <v>0</v>
      </c>
    </row>
    <row r="58" spans="1:24" s="97" customFormat="1" ht="15" customHeight="1">
      <c r="A58" s="223">
        <f t="shared" si="14"/>
        <v>27</v>
      </c>
      <c r="B58" s="24" t="s">
        <v>181</v>
      </c>
      <c r="C58" s="128">
        <v>1997</v>
      </c>
      <c r="D58" s="128"/>
      <c r="E58" s="207" t="s">
        <v>27</v>
      </c>
      <c r="F58" s="129">
        <v>14</v>
      </c>
      <c r="G58" s="129">
        <v>1</v>
      </c>
      <c r="H58" s="129">
        <v>5108</v>
      </c>
      <c r="I58" s="129">
        <v>5107.3</v>
      </c>
      <c r="J58" s="130">
        <v>4786.3</v>
      </c>
      <c r="K58" s="160">
        <v>215</v>
      </c>
      <c r="L58" s="96">
        <f>'раздел 4'!C60</f>
        <v>1048155.9</v>
      </c>
      <c r="M58" s="96"/>
      <c r="N58" s="96">
        <v>628893.54</v>
      </c>
      <c r="O58" s="96">
        <v>209631.18</v>
      </c>
      <c r="P58" s="96">
        <f t="shared" si="15"/>
        <v>209631.18</v>
      </c>
      <c r="Q58" s="95">
        <f t="shared" si="16"/>
        <v>205.19888410336728</v>
      </c>
      <c r="R58" s="96">
        <v>42000</v>
      </c>
      <c r="S58" s="126" t="s">
        <v>401</v>
      </c>
      <c r="T58" s="101" t="s">
        <v>318</v>
      </c>
      <c r="U58" s="86"/>
      <c r="V58" s="105">
        <f t="shared" si="0"/>
        <v>628893.54</v>
      </c>
      <c r="W58" s="105">
        <f t="shared" si="1"/>
        <v>209631.18000000002</v>
      </c>
      <c r="X58" s="105">
        <f>L58-'раздел 4'!C60</f>
        <v>0</v>
      </c>
    </row>
    <row r="59" spans="1:24" s="97" customFormat="1" ht="15" customHeight="1">
      <c r="A59" s="223">
        <f t="shared" si="14"/>
        <v>28</v>
      </c>
      <c r="B59" s="24" t="s">
        <v>182</v>
      </c>
      <c r="C59" s="128">
        <v>1976</v>
      </c>
      <c r="D59" s="128"/>
      <c r="E59" s="207" t="s">
        <v>27</v>
      </c>
      <c r="F59" s="129">
        <v>5</v>
      </c>
      <c r="G59" s="129">
        <v>5</v>
      </c>
      <c r="H59" s="129">
        <v>9317.38</v>
      </c>
      <c r="I59" s="129">
        <v>8611.57</v>
      </c>
      <c r="J59" s="130">
        <v>1563.34</v>
      </c>
      <c r="K59" s="160">
        <v>384</v>
      </c>
      <c r="L59" s="96">
        <f>'раздел 4'!C61</f>
        <v>1612403.9</v>
      </c>
      <c r="M59" s="96"/>
      <c r="N59" s="96">
        <v>967442.34</v>
      </c>
      <c r="O59" s="96">
        <v>322480.78</v>
      </c>
      <c r="P59" s="96">
        <f t="shared" si="15"/>
        <v>322480.7799999999</v>
      </c>
      <c r="Q59" s="95">
        <f t="shared" si="16"/>
        <v>173.0533583475183</v>
      </c>
      <c r="R59" s="96">
        <v>42000</v>
      </c>
      <c r="S59" s="126" t="s">
        <v>401</v>
      </c>
      <c r="T59" s="101" t="s">
        <v>318</v>
      </c>
      <c r="U59" s="86"/>
      <c r="V59" s="105">
        <f t="shared" si="0"/>
        <v>967442.3399999999</v>
      </c>
      <c r="W59" s="105">
        <f t="shared" si="1"/>
        <v>322480.78</v>
      </c>
      <c r="X59" s="105">
        <f>L59-'раздел 4'!C61</f>
        <v>0</v>
      </c>
    </row>
    <row r="60" spans="1:24" s="97" customFormat="1" ht="15" customHeight="1">
      <c r="A60" s="357" t="s">
        <v>64</v>
      </c>
      <c r="B60" s="357"/>
      <c r="C60" s="32" t="s">
        <v>37</v>
      </c>
      <c r="D60" s="32" t="s">
        <v>37</v>
      </c>
      <c r="E60" s="32" t="s">
        <v>37</v>
      </c>
      <c r="F60" s="32" t="s">
        <v>37</v>
      </c>
      <c r="G60" s="32" t="s">
        <v>37</v>
      </c>
      <c r="H60" s="95">
        <f>SUM(H44:H44)</f>
        <v>5809.49</v>
      </c>
      <c r="I60" s="95">
        <f>SUM(I44:I44)</f>
        <v>5209.49</v>
      </c>
      <c r="J60" s="95">
        <f>SUM(J44:J44)</f>
        <v>4944.01</v>
      </c>
      <c r="K60" s="99">
        <f>SUM(K44:K44)</f>
        <v>164</v>
      </c>
      <c r="L60" s="96">
        <f>SUM(L44:L59)</f>
        <v>12192657.329000002</v>
      </c>
      <c r="M60" s="96">
        <f>SUM(M44:M44)</f>
        <v>0</v>
      </c>
      <c r="N60" s="96">
        <f>SUM(N44:N59)</f>
        <v>7315594.409999999</v>
      </c>
      <c r="O60" s="96">
        <f>SUM(O44:O59)</f>
        <v>2438531.46</v>
      </c>
      <c r="P60" s="96">
        <f>SUM(P44:P59)</f>
        <v>2438531.4590000003</v>
      </c>
      <c r="Q60" s="95">
        <f>L60/H60</f>
        <v>2098.748311641814</v>
      </c>
      <c r="R60" s="96"/>
      <c r="S60" s="206"/>
      <c r="T60" s="206"/>
      <c r="U60" s="105">
        <f>L60-N60-O60-P60</f>
        <v>0</v>
      </c>
      <c r="V60" s="105">
        <f t="shared" si="0"/>
        <v>7315594.397400001</v>
      </c>
      <c r="W60" s="105">
        <f t="shared" si="1"/>
        <v>2438531.4658000004</v>
      </c>
      <c r="X60" s="105">
        <f>L60-'раздел 4'!C62</f>
        <v>0</v>
      </c>
    </row>
    <row r="61" spans="1:25" s="97" customFormat="1" ht="15" customHeight="1">
      <c r="A61" s="307" t="s">
        <v>261</v>
      </c>
      <c r="B61" s="307"/>
      <c r="C61" s="307"/>
      <c r="D61" s="32"/>
      <c r="E61" s="32"/>
      <c r="F61" s="32"/>
      <c r="G61" s="32"/>
      <c r="H61" s="95"/>
      <c r="I61" s="95"/>
      <c r="J61" s="95"/>
      <c r="K61" s="99"/>
      <c r="L61" s="96"/>
      <c r="M61" s="96"/>
      <c r="N61" s="96"/>
      <c r="O61" s="96"/>
      <c r="P61" s="96"/>
      <c r="Q61" s="95"/>
      <c r="R61" s="96"/>
      <c r="S61" s="206"/>
      <c r="T61" s="206"/>
      <c r="U61" s="86"/>
      <c r="V61" s="105">
        <f t="shared" si="0"/>
        <v>0</v>
      </c>
      <c r="W61" s="105">
        <f t="shared" si="1"/>
        <v>0</v>
      </c>
      <c r="X61" s="105">
        <f>L61-'раздел 4'!C63</f>
        <v>0</v>
      </c>
      <c r="Y61" s="97" t="s">
        <v>211</v>
      </c>
    </row>
    <row r="62" spans="1:24" s="97" customFormat="1" ht="15" customHeight="1">
      <c r="A62" s="223">
        <f>A59+1</f>
        <v>29</v>
      </c>
      <c r="B62" s="93" t="s">
        <v>202</v>
      </c>
      <c r="C62" s="49">
        <v>1976</v>
      </c>
      <c r="D62" s="49"/>
      <c r="E62" s="49" t="s">
        <v>39</v>
      </c>
      <c r="F62" s="49">
        <v>5</v>
      </c>
      <c r="G62" s="49">
        <v>4</v>
      </c>
      <c r="H62" s="49">
        <v>3794.1</v>
      </c>
      <c r="I62" s="49">
        <v>3794.1</v>
      </c>
      <c r="J62" s="49">
        <v>2039.22</v>
      </c>
      <c r="K62" s="161">
        <v>192</v>
      </c>
      <c r="L62" s="96">
        <f>'раздел 4'!C64</f>
        <v>548725.23</v>
      </c>
      <c r="M62" s="96"/>
      <c r="N62" s="96">
        <v>329235.13</v>
      </c>
      <c r="O62" s="96">
        <v>109745.05</v>
      </c>
      <c r="P62" s="96">
        <f>L62-N62-O62</f>
        <v>109745.04999999997</v>
      </c>
      <c r="Q62" s="95">
        <f>L62/H62</f>
        <v>144.62592709733534</v>
      </c>
      <c r="R62" s="96">
        <v>42000</v>
      </c>
      <c r="S62" s="126" t="s">
        <v>401</v>
      </c>
      <c r="T62" s="101" t="s">
        <v>318</v>
      </c>
      <c r="U62" s="86"/>
      <c r="V62" s="105">
        <f t="shared" si="0"/>
        <v>329235.138</v>
      </c>
      <c r="W62" s="105">
        <f t="shared" si="1"/>
        <v>109745.046</v>
      </c>
      <c r="X62" s="105">
        <f>L62-'раздел 4'!C64</f>
        <v>0</v>
      </c>
    </row>
    <row r="63" spans="1:24" s="97" customFormat="1" ht="15" customHeight="1">
      <c r="A63" s="223">
        <f>A62+1</f>
        <v>30</v>
      </c>
      <c r="B63" s="93" t="s">
        <v>203</v>
      </c>
      <c r="C63" s="49">
        <v>1986</v>
      </c>
      <c r="D63" s="49"/>
      <c r="E63" s="49" t="s">
        <v>39</v>
      </c>
      <c r="F63" s="49">
        <v>5</v>
      </c>
      <c r="G63" s="49">
        <v>3</v>
      </c>
      <c r="H63" s="49">
        <v>3304.8</v>
      </c>
      <c r="I63" s="49">
        <v>3304.8</v>
      </c>
      <c r="J63" s="49">
        <v>2253.2</v>
      </c>
      <c r="K63" s="161">
        <v>173</v>
      </c>
      <c r="L63" s="96">
        <f>'раздел 4'!C65</f>
        <v>315337.06</v>
      </c>
      <c r="M63" s="96"/>
      <c r="N63" s="96">
        <v>189202.24</v>
      </c>
      <c r="O63" s="96">
        <v>63067.41</v>
      </c>
      <c r="P63" s="96">
        <f>L63-N63-O63</f>
        <v>63067.41</v>
      </c>
      <c r="Q63" s="95">
        <f>L63/H63</f>
        <v>95.41789518276445</v>
      </c>
      <c r="R63" s="96">
        <v>42000</v>
      </c>
      <c r="S63" s="126" t="s">
        <v>401</v>
      </c>
      <c r="T63" s="101" t="s">
        <v>318</v>
      </c>
      <c r="U63" s="86"/>
      <c r="V63" s="105">
        <f t="shared" si="0"/>
        <v>189202.236</v>
      </c>
      <c r="W63" s="105">
        <f t="shared" si="1"/>
        <v>63067.412000000004</v>
      </c>
      <c r="X63" s="105">
        <f>L63-'раздел 4'!C65</f>
        <v>0</v>
      </c>
    </row>
    <row r="64" spans="1:24" s="97" customFormat="1" ht="15" customHeight="1">
      <c r="A64" s="223">
        <f>A63+1</f>
        <v>31</v>
      </c>
      <c r="B64" s="93" t="s">
        <v>204</v>
      </c>
      <c r="C64" s="49">
        <v>1984</v>
      </c>
      <c r="D64" s="49"/>
      <c r="E64" s="49" t="s">
        <v>304</v>
      </c>
      <c r="F64" s="49">
        <v>3</v>
      </c>
      <c r="G64" s="49">
        <v>3</v>
      </c>
      <c r="H64" s="49">
        <v>1268.1</v>
      </c>
      <c r="I64" s="49">
        <v>1268.1</v>
      </c>
      <c r="J64" s="49">
        <v>742.7</v>
      </c>
      <c r="K64" s="161">
        <v>92</v>
      </c>
      <c r="L64" s="96">
        <f>'раздел 4'!C66</f>
        <v>584689.98</v>
      </c>
      <c r="M64" s="96"/>
      <c r="N64" s="96">
        <v>350813.98</v>
      </c>
      <c r="O64" s="96">
        <v>116938</v>
      </c>
      <c r="P64" s="96">
        <f>L64-N64-O64</f>
        <v>116938</v>
      </c>
      <c r="Q64" s="95">
        <f>L64/H64</f>
        <v>461.0756091790868</v>
      </c>
      <c r="R64" s="96">
        <v>42000</v>
      </c>
      <c r="S64" s="126" t="s">
        <v>401</v>
      </c>
      <c r="T64" s="101" t="s">
        <v>318</v>
      </c>
      <c r="U64" s="86"/>
      <c r="V64" s="105">
        <f t="shared" si="0"/>
        <v>350813.98799999995</v>
      </c>
      <c r="W64" s="105">
        <f t="shared" si="1"/>
        <v>116937.996</v>
      </c>
      <c r="X64" s="105">
        <f>L64-'раздел 4'!C66</f>
        <v>0</v>
      </c>
    </row>
    <row r="65" spans="1:24" s="97" customFormat="1" ht="15" customHeight="1">
      <c r="A65" s="223">
        <f>A64+1</f>
        <v>32</v>
      </c>
      <c r="B65" s="93" t="s">
        <v>205</v>
      </c>
      <c r="C65" s="49">
        <v>1987</v>
      </c>
      <c r="D65" s="49"/>
      <c r="E65" s="49" t="s">
        <v>39</v>
      </c>
      <c r="F65" s="49">
        <v>5</v>
      </c>
      <c r="G65" s="49">
        <v>3</v>
      </c>
      <c r="H65" s="49">
        <v>3600</v>
      </c>
      <c r="I65" s="49">
        <v>3600</v>
      </c>
      <c r="J65" s="49">
        <v>2285.1</v>
      </c>
      <c r="K65" s="161">
        <v>161</v>
      </c>
      <c r="L65" s="96">
        <f>'раздел 4'!C67</f>
        <v>1047495.98</v>
      </c>
      <c r="M65" s="96"/>
      <c r="N65" s="96">
        <v>628497.58</v>
      </c>
      <c r="O65" s="96">
        <v>209499.2</v>
      </c>
      <c r="P65" s="96">
        <f>L65-N65-O65</f>
        <v>209499.2</v>
      </c>
      <c r="Q65" s="95">
        <f>L65/H65</f>
        <v>290.97110555555554</v>
      </c>
      <c r="R65" s="96">
        <v>42000</v>
      </c>
      <c r="S65" s="126" t="s">
        <v>401</v>
      </c>
      <c r="T65" s="101" t="s">
        <v>318</v>
      </c>
      <c r="U65" s="105">
        <f>L65-N65-O65-P65</f>
        <v>0</v>
      </c>
      <c r="V65" s="105">
        <f t="shared" si="0"/>
        <v>628497.588</v>
      </c>
      <c r="W65" s="105">
        <f t="shared" si="1"/>
        <v>209499.196</v>
      </c>
      <c r="X65" s="105">
        <f>L65-'раздел 4'!C67</f>
        <v>0</v>
      </c>
    </row>
    <row r="66" spans="1:24" s="97" customFormat="1" ht="15" customHeight="1">
      <c r="A66" s="357" t="s">
        <v>64</v>
      </c>
      <c r="B66" s="357"/>
      <c r="C66" s="32" t="s">
        <v>37</v>
      </c>
      <c r="D66" s="32" t="s">
        <v>37</v>
      </c>
      <c r="E66" s="32" t="s">
        <v>37</v>
      </c>
      <c r="F66" s="32" t="s">
        <v>37</v>
      </c>
      <c r="G66" s="32" t="s">
        <v>37</v>
      </c>
      <c r="H66" s="95">
        <f aca="true" t="shared" si="17" ref="H66:P66">SUM(H62:H65)</f>
        <v>11967</v>
      </c>
      <c r="I66" s="95">
        <f t="shared" si="17"/>
        <v>11967</v>
      </c>
      <c r="J66" s="95">
        <f t="shared" si="17"/>
        <v>7320.219999999999</v>
      </c>
      <c r="K66" s="99">
        <f t="shared" si="17"/>
        <v>618</v>
      </c>
      <c r="L66" s="96">
        <f t="shared" si="17"/>
        <v>2496248.25</v>
      </c>
      <c r="M66" s="96">
        <f t="shared" si="17"/>
        <v>0</v>
      </c>
      <c r="N66" s="96">
        <f t="shared" si="17"/>
        <v>1497748.93</v>
      </c>
      <c r="O66" s="96">
        <f t="shared" si="17"/>
        <v>499249.66000000003</v>
      </c>
      <c r="P66" s="96">
        <f t="shared" si="17"/>
        <v>499249.66</v>
      </c>
      <c r="Q66" s="95">
        <f>L66/H66</f>
        <v>208.59432188518426</v>
      </c>
      <c r="R66" s="96"/>
      <c r="S66" s="206"/>
      <c r="T66" s="206"/>
      <c r="U66" s="105">
        <f>L66-N66-O66-P66</f>
        <v>0</v>
      </c>
      <c r="V66" s="105">
        <f t="shared" si="0"/>
        <v>1497748.95</v>
      </c>
      <c r="W66" s="105">
        <f t="shared" si="1"/>
        <v>499249.65</v>
      </c>
      <c r="X66" s="105">
        <f>L66-'раздел 4'!C68</f>
        <v>0</v>
      </c>
    </row>
    <row r="67" spans="1:25" s="97" customFormat="1" ht="15" customHeight="1">
      <c r="A67" s="307" t="s">
        <v>262</v>
      </c>
      <c r="B67" s="307"/>
      <c r="C67" s="307"/>
      <c r="D67" s="131"/>
      <c r="E67" s="131"/>
      <c r="F67" s="131"/>
      <c r="G67" s="131"/>
      <c r="H67" s="132"/>
      <c r="I67" s="132"/>
      <c r="J67" s="132"/>
      <c r="K67" s="162"/>
      <c r="L67" s="96"/>
      <c r="M67" s="96"/>
      <c r="N67" s="96"/>
      <c r="O67" s="96"/>
      <c r="P67" s="96"/>
      <c r="Q67" s="95"/>
      <c r="R67" s="96"/>
      <c r="S67" s="206"/>
      <c r="T67" s="206"/>
      <c r="U67" s="86"/>
      <c r="V67" s="105">
        <f t="shared" si="0"/>
        <v>0</v>
      </c>
      <c r="W67" s="105">
        <f t="shared" si="1"/>
        <v>0</v>
      </c>
      <c r="X67" s="105">
        <f>L67-'раздел 4'!C69</f>
        <v>0</v>
      </c>
      <c r="Y67" s="97" t="s">
        <v>197</v>
      </c>
    </row>
    <row r="68" spans="1:24" s="97" customFormat="1" ht="15" customHeight="1">
      <c r="A68" s="223">
        <f>A65+1</f>
        <v>33</v>
      </c>
      <c r="B68" s="93" t="s">
        <v>212</v>
      </c>
      <c r="C68" s="98">
        <v>1963</v>
      </c>
      <c r="D68" s="32"/>
      <c r="E68" s="32" t="s">
        <v>138</v>
      </c>
      <c r="F68" s="98">
        <v>4</v>
      </c>
      <c r="G68" s="98">
        <v>4</v>
      </c>
      <c r="H68" s="95">
        <v>2526</v>
      </c>
      <c r="I68" s="95">
        <v>2526</v>
      </c>
      <c r="J68" s="95">
        <v>2326.48</v>
      </c>
      <c r="K68" s="99">
        <v>98</v>
      </c>
      <c r="L68" s="96">
        <f>'раздел 4'!C70</f>
        <v>311436.33</v>
      </c>
      <c r="M68" s="96"/>
      <c r="N68" s="96">
        <v>186861.79</v>
      </c>
      <c r="O68" s="96">
        <v>62287.27</v>
      </c>
      <c r="P68" s="96">
        <f aca="true" t="shared" si="18" ref="P68:P74">L68-N68-O68</f>
        <v>62287.27000000001</v>
      </c>
      <c r="Q68" s="95">
        <f aca="true" t="shared" si="19" ref="Q68:Q75">L68/H68</f>
        <v>123.2922921615202</v>
      </c>
      <c r="R68" s="96">
        <v>42000</v>
      </c>
      <c r="S68" s="126" t="s">
        <v>401</v>
      </c>
      <c r="T68" s="101" t="s">
        <v>318</v>
      </c>
      <c r="U68" s="86"/>
      <c r="V68" s="105">
        <f t="shared" si="0"/>
        <v>186861.798</v>
      </c>
      <c r="W68" s="105">
        <f t="shared" si="1"/>
        <v>62287.266</v>
      </c>
      <c r="X68" s="105">
        <f>L68-'раздел 4'!C70</f>
        <v>0</v>
      </c>
    </row>
    <row r="69" spans="1:24" s="97" customFormat="1" ht="15" customHeight="1">
      <c r="A69" s="223">
        <f aca="true" t="shared" si="20" ref="A69:A74">A68+1</f>
        <v>34</v>
      </c>
      <c r="B69" s="93" t="s">
        <v>213</v>
      </c>
      <c r="C69" s="98">
        <v>1976</v>
      </c>
      <c r="D69" s="32"/>
      <c r="E69" s="32" t="s">
        <v>319</v>
      </c>
      <c r="F69" s="98">
        <v>5</v>
      </c>
      <c r="G69" s="98">
        <v>6</v>
      </c>
      <c r="H69" s="95">
        <v>4391.2</v>
      </c>
      <c r="I69" s="95">
        <v>4391.2</v>
      </c>
      <c r="J69" s="95">
        <v>3849.28</v>
      </c>
      <c r="K69" s="99">
        <v>212</v>
      </c>
      <c r="L69" s="96">
        <f>'раздел 4'!C71</f>
        <v>391216.75</v>
      </c>
      <c r="M69" s="96"/>
      <c r="N69" s="96">
        <v>234730.05</v>
      </c>
      <c r="O69" s="96">
        <v>78243.35</v>
      </c>
      <c r="P69" s="96">
        <f t="shared" si="18"/>
        <v>78243.35</v>
      </c>
      <c r="Q69" s="95">
        <f t="shared" si="19"/>
        <v>89.09107988704683</v>
      </c>
      <c r="R69" s="96">
        <v>42000</v>
      </c>
      <c r="S69" s="126" t="s">
        <v>401</v>
      </c>
      <c r="T69" s="101" t="s">
        <v>318</v>
      </c>
      <c r="U69" s="86"/>
      <c r="V69" s="105">
        <f t="shared" si="0"/>
        <v>234730.05</v>
      </c>
      <c r="W69" s="105">
        <f t="shared" si="1"/>
        <v>78243.35</v>
      </c>
      <c r="X69" s="105">
        <f>L69-'раздел 4'!C71</f>
        <v>0</v>
      </c>
    </row>
    <row r="70" spans="1:24" s="97" customFormat="1" ht="15" customHeight="1">
      <c r="A70" s="223">
        <f t="shared" si="20"/>
        <v>35</v>
      </c>
      <c r="B70" s="94" t="s">
        <v>206</v>
      </c>
      <c r="C70" s="98">
        <v>1964</v>
      </c>
      <c r="D70" s="32"/>
      <c r="E70" s="32" t="s">
        <v>138</v>
      </c>
      <c r="F70" s="98">
        <v>2</v>
      </c>
      <c r="G70" s="98">
        <v>2</v>
      </c>
      <c r="H70" s="95">
        <v>640.1</v>
      </c>
      <c r="I70" s="95">
        <v>640.1</v>
      </c>
      <c r="J70" s="95">
        <v>597.4</v>
      </c>
      <c r="K70" s="99">
        <v>22</v>
      </c>
      <c r="L70" s="96">
        <f>'раздел 4'!C72</f>
        <v>180063.36</v>
      </c>
      <c r="M70" s="96"/>
      <c r="N70" s="96">
        <v>108038.02</v>
      </c>
      <c r="O70" s="96">
        <v>36012.67</v>
      </c>
      <c r="P70" s="96">
        <f t="shared" si="18"/>
        <v>36012.669999999984</v>
      </c>
      <c r="Q70" s="95">
        <f t="shared" si="19"/>
        <v>281.30504608654894</v>
      </c>
      <c r="R70" s="96">
        <v>42000</v>
      </c>
      <c r="S70" s="126" t="s">
        <v>401</v>
      </c>
      <c r="T70" s="101" t="s">
        <v>318</v>
      </c>
      <c r="U70" s="86"/>
      <c r="V70" s="105">
        <f t="shared" si="0"/>
        <v>108038.01599999999</v>
      </c>
      <c r="W70" s="105">
        <f t="shared" si="1"/>
        <v>36012.672</v>
      </c>
      <c r="X70" s="105">
        <f>L70-'раздел 4'!C72</f>
        <v>0</v>
      </c>
    </row>
    <row r="71" spans="1:24" s="97" customFormat="1" ht="15" customHeight="1">
      <c r="A71" s="223">
        <f t="shared" si="20"/>
        <v>36</v>
      </c>
      <c r="B71" s="94" t="s">
        <v>207</v>
      </c>
      <c r="C71" s="98">
        <v>1982</v>
      </c>
      <c r="D71" s="32"/>
      <c r="E71" s="32" t="s">
        <v>320</v>
      </c>
      <c r="F71" s="98">
        <v>5</v>
      </c>
      <c r="G71" s="98">
        <v>6</v>
      </c>
      <c r="H71" s="95">
        <v>4854.5</v>
      </c>
      <c r="I71" s="95">
        <v>4854.5</v>
      </c>
      <c r="J71" s="95">
        <v>4565.2</v>
      </c>
      <c r="K71" s="99">
        <v>169</v>
      </c>
      <c r="L71" s="96">
        <f>'раздел 4'!C73</f>
        <v>470523.95</v>
      </c>
      <c r="M71" s="96"/>
      <c r="N71" s="96">
        <v>282314.37</v>
      </c>
      <c r="O71" s="96">
        <v>94104.79</v>
      </c>
      <c r="P71" s="96">
        <f t="shared" si="18"/>
        <v>94104.79000000002</v>
      </c>
      <c r="Q71" s="95">
        <f t="shared" si="19"/>
        <v>96.92531671644866</v>
      </c>
      <c r="R71" s="96">
        <v>42000</v>
      </c>
      <c r="S71" s="126" t="s">
        <v>401</v>
      </c>
      <c r="T71" s="101" t="s">
        <v>318</v>
      </c>
      <c r="U71" s="86"/>
      <c r="V71" s="105">
        <f aca="true" t="shared" si="21" ref="V71:V134">L71*0.6</f>
        <v>282314.37</v>
      </c>
      <c r="W71" s="105">
        <f aca="true" t="shared" si="22" ref="W71:W134">L71*0.2</f>
        <v>94104.79000000001</v>
      </c>
      <c r="X71" s="105">
        <f>L71-'раздел 4'!C73</f>
        <v>0</v>
      </c>
    </row>
    <row r="72" spans="1:24" s="97" customFormat="1" ht="15" customHeight="1">
      <c r="A72" s="223">
        <f t="shared" si="20"/>
        <v>37</v>
      </c>
      <c r="B72" s="94" t="s">
        <v>208</v>
      </c>
      <c r="C72" s="98">
        <v>1982</v>
      </c>
      <c r="D72" s="32"/>
      <c r="E72" s="32" t="s">
        <v>33</v>
      </c>
      <c r="F72" s="98">
        <v>5</v>
      </c>
      <c r="G72" s="98">
        <v>7</v>
      </c>
      <c r="H72" s="95">
        <v>5708.5</v>
      </c>
      <c r="I72" s="95">
        <v>5708.5</v>
      </c>
      <c r="J72" s="95">
        <v>4909.1</v>
      </c>
      <c r="K72" s="99">
        <v>241</v>
      </c>
      <c r="L72" s="96">
        <f>'раздел 4'!C74</f>
        <v>470524.95</v>
      </c>
      <c r="M72" s="96"/>
      <c r="N72" s="96">
        <v>282314.97</v>
      </c>
      <c r="O72" s="96">
        <v>94104.99</v>
      </c>
      <c r="P72" s="96">
        <f t="shared" si="18"/>
        <v>94104.99000000003</v>
      </c>
      <c r="Q72" s="95">
        <f t="shared" si="19"/>
        <v>82.42532188841201</v>
      </c>
      <c r="R72" s="96">
        <v>42000</v>
      </c>
      <c r="S72" s="126" t="s">
        <v>401</v>
      </c>
      <c r="T72" s="101" t="s">
        <v>318</v>
      </c>
      <c r="U72" s="86"/>
      <c r="V72" s="105">
        <f t="shared" si="21"/>
        <v>282314.97</v>
      </c>
      <c r="W72" s="105">
        <f t="shared" si="22"/>
        <v>94104.99</v>
      </c>
      <c r="X72" s="105">
        <f>L72-'раздел 4'!C74</f>
        <v>0</v>
      </c>
    </row>
    <row r="73" spans="1:24" s="97" customFormat="1" ht="15" customHeight="1">
      <c r="A73" s="223">
        <f t="shared" si="20"/>
        <v>38</v>
      </c>
      <c r="B73" s="94" t="s">
        <v>209</v>
      </c>
      <c r="C73" s="98">
        <v>1969</v>
      </c>
      <c r="D73" s="32"/>
      <c r="E73" s="32" t="s">
        <v>33</v>
      </c>
      <c r="F73" s="98">
        <v>5</v>
      </c>
      <c r="G73" s="98">
        <v>4</v>
      </c>
      <c r="H73" s="95">
        <v>3957.71</v>
      </c>
      <c r="I73" s="95">
        <v>3957.71</v>
      </c>
      <c r="J73" s="95">
        <v>3230.31</v>
      </c>
      <c r="K73" s="99">
        <v>161</v>
      </c>
      <c r="L73" s="96">
        <f>'раздел 4'!C75</f>
        <v>322007.71</v>
      </c>
      <c r="M73" s="96"/>
      <c r="N73" s="96">
        <v>193204.63</v>
      </c>
      <c r="O73" s="96">
        <v>64401.54</v>
      </c>
      <c r="P73" s="96">
        <f t="shared" si="18"/>
        <v>64401.540000000015</v>
      </c>
      <c r="Q73" s="95">
        <f t="shared" si="19"/>
        <v>81.3621286046729</v>
      </c>
      <c r="R73" s="96">
        <v>42000</v>
      </c>
      <c r="S73" s="126" t="s">
        <v>401</v>
      </c>
      <c r="T73" s="101" t="s">
        <v>318</v>
      </c>
      <c r="U73" s="86"/>
      <c r="V73" s="105">
        <f t="shared" si="21"/>
        <v>193204.62600000002</v>
      </c>
      <c r="W73" s="105">
        <f t="shared" si="22"/>
        <v>64401.54200000001</v>
      </c>
      <c r="X73" s="105">
        <f>L73-'раздел 4'!C75</f>
        <v>0</v>
      </c>
    </row>
    <row r="74" spans="1:24" s="97" customFormat="1" ht="15" customHeight="1">
      <c r="A74" s="223">
        <f t="shared" si="20"/>
        <v>39</v>
      </c>
      <c r="B74" s="94" t="s">
        <v>210</v>
      </c>
      <c r="C74" s="98">
        <v>1977</v>
      </c>
      <c r="D74" s="32"/>
      <c r="E74" s="32" t="s">
        <v>33</v>
      </c>
      <c r="F74" s="98">
        <v>5</v>
      </c>
      <c r="G74" s="98">
        <v>5</v>
      </c>
      <c r="H74" s="95">
        <v>5209.32</v>
      </c>
      <c r="I74" s="95">
        <v>5209.32</v>
      </c>
      <c r="J74" s="95">
        <v>4479.22</v>
      </c>
      <c r="K74" s="99">
        <v>205</v>
      </c>
      <c r="L74" s="96">
        <f>'раздел 4'!C76</f>
        <v>397603.11</v>
      </c>
      <c r="M74" s="96"/>
      <c r="N74" s="96">
        <v>238561.87</v>
      </c>
      <c r="O74" s="96">
        <v>79520.62</v>
      </c>
      <c r="P74" s="96">
        <f t="shared" si="18"/>
        <v>79520.62</v>
      </c>
      <c r="Q74" s="95">
        <f t="shared" si="19"/>
        <v>76.3253380479602</v>
      </c>
      <c r="R74" s="96">
        <v>42000</v>
      </c>
      <c r="S74" s="126" t="s">
        <v>401</v>
      </c>
      <c r="T74" s="101" t="s">
        <v>318</v>
      </c>
      <c r="U74" s="86"/>
      <c r="V74" s="105">
        <f t="shared" si="21"/>
        <v>238561.86599999998</v>
      </c>
      <c r="W74" s="105">
        <f t="shared" si="22"/>
        <v>79520.622</v>
      </c>
      <c r="X74" s="105">
        <f>L74-'раздел 4'!C76</f>
        <v>0</v>
      </c>
    </row>
    <row r="75" spans="1:24" s="97" customFormat="1" ht="15" customHeight="1">
      <c r="A75" s="357" t="s">
        <v>64</v>
      </c>
      <c r="B75" s="357"/>
      <c r="C75" s="32" t="s">
        <v>37</v>
      </c>
      <c r="D75" s="32" t="s">
        <v>37</v>
      </c>
      <c r="E75" s="32" t="s">
        <v>37</v>
      </c>
      <c r="F75" s="32" t="s">
        <v>37</v>
      </c>
      <c r="G75" s="32" t="s">
        <v>37</v>
      </c>
      <c r="H75" s="95">
        <f aca="true" t="shared" si="23" ref="H75:P75">SUM(H68:H74)</f>
        <v>27287.329999999998</v>
      </c>
      <c r="I75" s="95">
        <f t="shared" si="23"/>
        <v>27287.329999999998</v>
      </c>
      <c r="J75" s="95">
        <f t="shared" si="23"/>
        <v>23956.99</v>
      </c>
      <c r="K75" s="99">
        <f t="shared" si="23"/>
        <v>1108</v>
      </c>
      <c r="L75" s="96">
        <f t="shared" si="23"/>
        <v>2543376.16</v>
      </c>
      <c r="M75" s="96">
        <f t="shared" si="23"/>
        <v>0</v>
      </c>
      <c r="N75" s="96">
        <f t="shared" si="23"/>
        <v>1526025.7000000002</v>
      </c>
      <c r="O75" s="96">
        <f t="shared" si="23"/>
        <v>508675.2299999999</v>
      </c>
      <c r="P75" s="96">
        <f t="shared" si="23"/>
        <v>508675.2300000001</v>
      </c>
      <c r="Q75" s="95">
        <f t="shared" si="19"/>
        <v>93.20721961437782</v>
      </c>
      <c r="R75" s="96"/>
      <c r="S75" s="126"/>
      <c r="T75" s="206"/>
      <c r="U75" s="105">
        <f>L75-N75-O75-P75</f>
        <v>0</v>
      </c>
      <c r="V75" s="105">
        <f t="shared" si="21"/>
        <v>1526025.696</v>
      </c>
      <c r="W75" s="105">
        <f t="shared" si="22"/>
        <v>508675.2320000001</v>
      </c>
      <c r="X75" s="105">
        <f>L75-'раздел 4'!C77</f>
        <v>0</v>
      </c>
    </row>
    <row r="76" spans="1:24" s="97" customFormat="1" ht="15" customHeight="1">
      <c r="A76" s="341" t="s">
        <v>307</v>
      </c>
      <c r="B76" s="342"/>
      <c r="C76" s="345"/>
      <c r="D76" s="32"/>
      <c r="E76" s="32"/>
      <c r="F76" s="32"/>
      <c r="G76" s="32"/>
      <c r="H76" s="95"/>
      <c r="I76" s="95"/>
      <c r="J76" s="95"/>
      <c r="K76" s="99"/>
      <c r="L76" s="96"/>
      <c r="M76" s="96"/>
      <c r="N76" s="96"/>
      <c r="O76" s="96"/>
      <c r="P76" s="96"/>
      <c r="Q76" s="95"/>
      <c r="R76" s="96"/>
      <c r="S76" s="126"/>
      <c r="T76" s="206"/>
      <c r="U76" s="105"/>
      <c r="V76" s="105">
        <f t="shared" si="21"/>
        <v>0</v>
      </c>
      <c r="W76" s="105">
        <f t="shared" si="22"/>
        <v>0</v>
      </c>
      <c r="X76" s="105">
        <f>L76-'раздел 4'!C78</f>
        <v>0</v>
      </c>
    </row>
    <row r="77" spans="1:24" s="97" customFormat="1" ht="15" customHeight="1">
      <c r="A77" s="92">
        <f>A74+1</f>
        <v>40</v>
      </c>
      <c r="B77" s="25" t="s">
        <v>308</v>
      </c>
      <c r="C77" s="133">
        <v>1976</v>
      </c>
      <c r="D77" s="32"/>
      <c r="E77" s="32" t="s">
        <v>315</v>
      </c>
      <c r="F77" s="133">
        <v>2</v>
      </c>
      <c r="G77" s="133">
        <v>2</v>
      </c>
      <c r="H77" s="95">
        <v>795.74</v>
      </c>
      <c r="I77" s="95">
        <v>795.74</v>
      </c>
      <c r="J77" s="95">
        <v>545.81</v>
      </c>
      <c r="K77" s="99">
        <v>39</v>
      </c>
      <c r="L77" s="96">
        <f>'раздел 4'!C79</f>
        <v>246809.18</v>
      </c>
      <c r="M77" s="96"/>
      <c r="N77" s="96">
        <v>148085.5</v>
      </c>
      <c r="O77" s="96">
        <v>49361.84</v>
      </c>
      <c r="P77" s="96">
        <f>L77-N77-O77</f>
        <v>49361.84</v>
      </c>
      <c r="Q77" s="95">
        <f aca="true" t="shared" si="24" ref="Q77:Q82">L77/H77</f>
        <v>310.16309347274233</v>
      </c>
      <c r="R77" s="96">
        <v>42000</v>
      </c>
      <c r="S77" s="126" t="s">
        <v>401</v>
      </c>
      <c r="T77" s="101" t="s">
        <v>318</v>
      </c>
      <c r="U77" s="105"/>
      <c r="V77" s="105">
        <f t="shared" si="21"/>
        <v>148085.508</v>
      </c>
      <c r="W77" s="105">
        <f t="shared" si="22"/>
        <v>49361.836</v>
      </c>
      <c r="X77" s="105">
        <f>L77-'раздел 4'!C79</f>
        <v>0</v>
      </c>
    </row>
    <row r="78" spans="1:24" s="97" customFormat="1" ht="15" customHeight="1">
      <c r="A78" s="92">
        <f>A77+1</f>
        <v>41</v>
      </c>
      <c r="B78" s="25" t="s">
        <v>309</v>
      </c>
      <c r="C78" s="133">
        <v>1991</v>
      </c>
      <c r="D78" s="32"/>
      <c r="E78" s="32" t="s">
        <v>29</v>
      </c>
      <c r="F78" s="133">
        <v>3</v>
      </c>
      <c r="G78" s="133">
        <v>2</v>
      </c>
      <c r="H78" s="95">
        <v>1250.6</v>
      </c>
      <c r="I78" s="95">
        <v>1250.6</v>
      </c>
      <c r="J78" s="95">
        <v>865.86</v>
      </c>
      <c r="K78" s="99">
        <v>71</v>
      </c>
      <c r="L78" s="96">
        <f>'раздел 4'!C80</f>
        <v>310951.48</v>
      </c>
      <c r="M78" s="96"/>
      <c r="N78" s="96">
        <v>186570.88</v>
      </c>
      <c r="O78" s="96">
        <v>62190.3</v>
      </c>
      <c r="P78" s="96">
        <f>L78-N78-O78</f>
        <v>62190.299999999974</v>
      </c>
      <c r="Q78" s="95">
        <f t="shared" si="24"/>
        <v>248.641835918759</v>
      </c>
      <c r="R78" s="96">
        <v>42000</v>
      </c>
      <c r="S78" s="126" t="s">
        <v>401</v>
      </c>
      <c r="T78" s="101" t="s">
        <v>318</v>
      </c>
      <c r="U78" s="105"/>
      <c r="V78" s="105">
        <f t="shared" si="21"/>
        <v>186570.88799999998</v>
      </c>
      <c r="W78" s="105">
        <f t="shared" si="22"/>
        <v>62190.296</v>
      </c>
      <c r="X78" s="105">
        <f>L78-'раздел 4'!C80</f>
        <v>0</v>
      </c>
    </row>
    <row r="79" spans="1:24" s="97" customFormat="1" ht="15" customHeight="1">
      <c r="A79" s="92">
        <f>A78+1</f>
        <v>42</v>
      </c>
      <c r="B79" s="25" t="s">
        <v>310</v>
      </c>
      <c r="C79" s="133">
        <v>1979</v>
      </c>
      <c r="D79" s="32"/>
      <c r="E79" s="49" t="s">
        <v>39</v>
      </c>
      <c r="F79" s="133">
        <v>3</v>
      </c>
      <c r="G79" s="133">
        <v>2</v>
      </c>
      <c r="H79" s="95">
        <v>1315</v>
      </c>
      <c r="I79" s="95">
        <v>1315</v>
      </c>
      <c r="J79" s="95">
        <v>774.02</v>
      </c>
      <c r="K79" s="99">
        <v>76</v>
      </c>
      <c r="L79" s="96">
        <f>'раздел 4'!C81</f>
        <v>310951.48</v>
      </c>
      <c r="M79" s="96"/>
      <c r="N79" s="96">
        <v>186570.88</v>
      </c>
      <c r="O79" s="96">
        <v>62190.3</v>
      </c>
      <c r="P79" s="96">
        <f>L79-N79-O79</f>
        <v>62190.299999999974</v>
      </c>
      <c r="Q79" s="95">
        <f t="shared" si="24"/>
        <v>236.46500380228136</v>
      </c>
      <c r="R79" s="96">
        <v>42000</v>
      </c>
      <c r="S79" s="126" t="s">
        <v>401</v>
      </c>
      <c r="T79" s="101" t="s">
        <v>318</v>
      </c>
      <c r="U79" s="105"/>
      <c r="V79" s="105">
        <f t="shared" si="21"/>
        <v>186570.88799999998</v>
      </c>
      <c r="W79" s="105">
        <f t="shared" si="22"/>
        <v>62190.296</v>
      </c>
      <c r="X79" s="105">
        <f>L79-'раздел 4'!C81</f>
        <v>0</v>
      </c>
    </row>
    <row r="80" spans="1:24" s="97" customFormat="1" ht="15" customHeight="1">
      <c r="A80" s="92">
        <f>A79+1</f>
        <v>43</v>
      </c>
      <c r="B80" s="25" t="s">
        <v>311</v>
      </c>
      <c r="C80" s="133">
        <v>1977</v>
      </c>
      <c r="D80" s="32"/>
      <c r="E80" s="49" t="s">
        <v>39</v>
      </c>
      <c r="F80" s="133">
        <v>5</v>
      </c>
      <c r="G80" s="133">
        <v>4</v>
      </c>
      <c r="H80" s="95">
        <v>3479.4</v>
      </c>
      <c r="I80" s="95">
        <v>3479.4</v>
      </c>
      <c r="J80" s="95">
        <v>2008.2</v>
      </c>
      <c r="K80" s="99">
        <v>163</v>
      </c>
      <c r="L80" s="96">
        <f>'раздел 4'!C82</f>
        <v>565961.65</v>
      </c>
      <c r="M80" s="96"/>
      <c r="N80" s="96">
        <v>339576.99</v>
      </c>
      <c r="O80" s="96">
        <v>113192.33</v>
      </c>
      <c r="P80" s="96">
        <f>L80-N80-O80</f>
        <v>113192.33000000003</v>
      </c>
      <c r="Q80" s="95">
        <f t="shared" si="24"/>
        <v>162.66070299476922</v>
      </c>
      <c r="R80" s="96">
        <v>42000</v>
      </c>
      <c r="S80" s="126" t="s">
        <v>401</v>
      </c>
      <c r="T80" s="101" t="s">
        <v>318</v>
      </c>
      <c r="U80" s="105"/>
      <c r="V80" s="105">
        <f t="shared" si="21"/>
        <v>339576.99</v>
      </c>
      <c r="W80" s="105">
        <f t="shared" si="22"/>
        <v>113192.33000000002</v>
      </c>
      <c r="X80" s="105">
        <f>L80-'раздел 4'!C82</f>
        <v>0</v>
      </c>
    </row>
    <row r="81" spans="1:24" s="97" customFormat="1" ht="15" customHeight="1">
      <c r="A81" s="92">
        <f>A80+1</f>
        <v>44</v>
      </c>
      <c r="B81" s="25" t="s">
        <v>312</v>
      </c>
      <c r="C81" s="133">
        <v>1978</v>
      </c>
      <c r="D81" s="32"/>
      <c r="E81" s="32" t="s">
        <v>29</v>
      </c>
      <c r="F81" s="32">
        <v>2</v>
      </c>
      <c r="G81" s="32">
        <v>2</v>
      </c>
      <c r="H81" s="95">
        <v>1780.2</v>
      </c>
      <c r="I81" s="95">
        <v>1780.2</v>
      </c>
      <c r="J81" s="95">
        <v>904.8</v>
      </c>
      <c r="K81" s="99">
        <v>49</v>
      </c>
      <c r="L81" s="96">
        <f>'раздел 4'!C83</f>
        <v>271379.89</v>
      </c>
      <c r="M81" s="96"/>
      <c r="N81" s="96">
        <v>162827.93</v>
      </c>
      <c r="O81" s="96">
        <v>54275.98</v>
      </c>
      <c r="P81" s="96">
        <f>L81-N81-O81</f>
        <v>54275.98000000002</v>
      </c>
      <c r="Q81" s="95">
        <f t="shared" si="24"/>
        <v>152.44348387821594</v>
      </c>
      <c r="R81" s="96">
        <v>42000</v>
      </c>
      <c r="S81" s="126" t="s">
        <v>401</v>
      </c>
      <c r="T81" s="101" t="s">
        <v>318</v>
      </c>
      <c r="U81" s="105"/>
      <c r="V81" s="105">
        <f t="shared" si="21"/>
        <v>162827.934</v>
      </c>
      <c r="W81" s="105">
        <f t="shared" si="22"/>
        <v>54275.978</v>
      </c>
      <c r="X81" s="105">
        <f>L81-'раздел 4'!C83</f>
        <v>0</v>
      </c>
    </row>
    <row r="82" spans="1:24" s="97" customFormat="1" ht="15" customHeight="1">
      <c r="A82" s="308" t="s">
        <v>64</v>
      </c>
      <c r="B82" s="308"/>
      <c r="C82" s="32"/>
      <c r="D82" s="32"/>
      <c r="E82" s="32"/>
      <c r="F82" s="32"/>
      <c r="G82" s="32"/>
      <c r="H82" s="95">
        <f aca="true" t="shared" si="25" ref="H82:P82">SUM(H77:H81)</f>
        <v>8620.94</v>
      </c>
      <c r="I82" s="95">
        <f t="shared" si="25"/>
        <v>8620.94</v>
      </c>
      <c r="J82" s="95">
        <f t="shared" si="25"/>
        <v>5098.6900000000005</v>
      </c>
      <c r="K82" s="99">
        <f t="shared" si="25"/>
        <v>398</v>
      </c>
      <c r="L82" s="96">
        <f t="shared" si="25"/>
        <v>1706053.6800000002</v>
      </c>
      <c r="M82" s="96">
        <f t="shared" si="25"/>
        <v>0</v>
      </c>
      <c r="N82" s="96">
        <f t="shared" si="25"/>
        <v>1023632.1799999999</v>
      </c>
      <c r="O82" s="96">
        <f t="shared" si="25"/>
        <v>341210.75</v>
      </c>
      <c r="P82" s="96">
        <f t="shared" si="25"/>
        <v>341210.75</v>
      </c>
      <c r="Q82" s="95">
        <f t="shared" si="24"/>
        <v>197.8964799662218</v>
      </c>
      <c r="R82" s="96"/>
      <c r="S82" s="126"/>
      <c r="T82" s="206"/>
      <c r="U82" s="105"/>
      <c r="V82" s="105">
        <f t="shared" si="21"/>
        <v>1023632.2080000001</v>
      </c>
      <c r="W82" s="105">
        <f t="shared" si="22"/>
        <v>341210.73600000003</v>
      </c>
      <c r="X82" s="105">
        <f>L82-'раздел 4'!C84</f>
        <v>0</v>
      </c>
    </row>
    <row r="83" spans="1:25" s="97" customFormat="1" ht="15" customHeight="1">
      <c r="A83" s="344" t="s">
        <v>105</v>
      </c>
      <c r="B83" s="344"/>
      <c r="C83" s="344"/>
      <c r="D83" s="206"/>
      <c r="E83" s="206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195"/>
      <c r="V83" s="105">
        <f t="shared" si="21"/>
        <v>0</v>
      </c>
      <c r="W83" s="105">
        <f t="shared" si="22"/>
        <v>0</v>
      </c>
      <c r="X83" s="105">
        <f>L83-'раздел 4'!C85</f>
        <v>0</v>
      </c>
      <c r="Y83" s="97" t="s">
        <v>214</v>
      </c>
    </row>
    <row r="84" spans="1:24" s="97" customFormat="1" ht="13.5">
      <c r="A84" s="99">
        <f>A81+1</f>
        <v>45</v>
      </c>
      <c r="B84" s="80" t="s">
        <v>107</v>
      </c>
      <c r="C84" s="49">
        <v>1981</v>
      </c>
      <c r="D84" s="49" t="s">
        <v>32</v>
      </c>
      <c r="E84" s="49" t="s">
        <v>108</v>
      </c>
      <c r="F84" s="50" t="s">
        <v>38</v>
      </c>
      <c r="G84" s="50" t="s">
        <v>38</v>
      </c>
      <c r="H84" s="49">
        <v>1679.1</v>
      </c>
      <c r="I84" s="49">
        <v>1355.9</v>
      </c>
      <c r="J84" s="49">
        <v>633.7</v>
      </c>
      <c r="K84" s="161">
        <v>65</v>
      </c>
      <c r="L84" s="96">
        <f>'раздел 4'!C86</f>
        <v>180927.48</v>
      </c>
      <c r="M84" s="51"/>
      <c r="N84" s="96">
        <v>108556.48</v>
      </c>
      <c r="O84" s="96">
        <v>36185.5</v>
      </c>
      <c r="P84" s="96">
        <f>L84-N84-O84</f>
        <v>36185.500000000015</v>
      </c>
      <c r="Q84" s="95">
        <f>L84/H84</f>
        <v>107.75265320707523</v>
      </c>
      <c r="R84" s="96">
        <v>42000</v>
      </c>
      <c r="S84" s="126" t="s">
        <v>401</v>
      </c>
      <c r="T84" s="101" t="s">
        <v>318</v>
      </c>
      <c r="U84" s="86"/>
      <c r="V84" s="105">
        <f t="shared" si="21"/>
        <v>108556.488</v>
      </c>
      <c r="W84" s="105">
        <f t="shared" si="22"/>
        <v>36185.49600000001</v>
      </c>
      <c r="X84" s="105">
        <f>L84-'раздел 4'!C86</f>
        <v>0</v>
      </c>
    </row>
    <row r="85" spans="1:24" s="97" customFormat="1" ht="14.25">
      <c r="A85" s="52">
        <f>A84+1</f>
        <v>46</v>
      </c>
      <c r="B85" s="80" t="s">
        <v>106</v>
      </c>
      <c r="C85" s="134">
        <v>1981</v>
      </c>
      <c r="D85" s="53" t="s">
        <v>32</v>
      </c>
      <c r="E85" s="54" t="s">
        <v>109</v>
      </c>
      <c r="F85" s="50" t="s">
        <v>38</v>
      </c>
      <c r="G85" s="50" t="s">
        <v>38</v>
      </c>
      <c r="H85" s="54" t="s">
        <v>110</v>
      </c>
      <c r="I85" s="51">
        <v>1464.5</v>
      </c>
      <c r="J85" s="54">
        <v>868.4</v>
      </c>
      <c r="K85" s="158">
        <v>62</v>
      </c>
      <c r="L85" s="96">
        <f>'раздел 4'!C87</f>
        <v>180927.48</v>
      </c>
      <c r="M85" s="51"/>
      <c r="N85" s="96">
        <v>108556.48</v>
      </c>
      <c r="O85" s="96">
        <v>36185.5</v>
      </c>
      <c r="P85" s="96">
        <f>L85-N85-O85</f>
        <v>36185.500000000015</v>
      </c>
      <c r="Q85" s="95">
        <v>107.75</v>
      </c>
      <c r="R85" s="96">
        <v>42000</v>
      </c>
      <c r="S85" s="126" t="s">
        <v>401</v>
      </c>
      <c r="T85" s="101" t="s">
        <v>318</v>
      </c>
      <c r="U85" s="86"/>
      <c r="V85" s="105">
        <f t="shared" si="21"/>
        <v>108556.488</v>
      </c>
      <c r="W85" s="105">
        <f t="shared" si="22"/>
        <v>36185.49600000001</v>
      </c>
      <c r="X85" s="105">
        <f>L85-'раздел 4'!C87</f>
        <v>0</v>
      </c>
    </row>
    <row r="86" spans="1:24" s="31" customFormat="1" ht="13.5">
      <c r="A86" s="357" t="s">
        <v>64</v>
      </c>
      <c r="B86" s="357"/>
      <c r="C86" s="32" t="s">
        <v>37</v>
      </c>
      <c r="D86" s="32" t="s">
        <v>37</v>
      </c>
      <c r="E86" s="32" t="s">
        <v>37</v>
      </c>
      <c r="F86" s="32" t="s">
        <v>37</v>
      </c>
      <c r="G86" s="32" t="s">
        <v>37</v>
      </c>
      <c r="H86" s="206">
        <f aca="true" t="shared" si="26" ref="H86:P86">SUM(H84:H85)</f>
        <v>1679.1</v>
      </c>
      <c r="I86" s="206">
        <f t="shared" si="26"/>
        <v>2820.4</v>
      </c>
      <c r="J86" s="206">
        <f t="shared" si="26"/>
        <v>1502.1</v>
      </c>
      <c r="K86" s="99">
        <f t="shared" si="26"/>
        <v>127</v>
      </c>
      <c r="L86" s="96">
        <f>SUM(L84:L85)</f>
        <v>361854.96</v>
      </c>
      <c r="M86" s="96">
        <f t="shared" si="26"/>
        <v>0</v>
      </c>
      <c r="N86" s="96">
        <f t="shared" si="26"/>
        <v>217112.96</v>
      </c>
      <c r="O86" s="96">
        <f t="shared" si="26"/>
        <v>72371</v>
      </c>
      <c r="P86" s="96">
        <f t="shared" si="26"/>
        <v>72371.00000000003</v>
      </c>
      <c r="Q86" s="95">
        <f>L86/H86</f>
        <v>215.50530641415045</v>
      </c>
      <c r="R86" s="96">
        <v>42000</v>
      </c>
      <c r="S86" s="126" t="s">
        <v>401</v>
      </c>
      <c r="T86" s="104"/>
      <c r="U86" s="83"/>
      <c r="V86" s="105">
        <f t="shared" si="21"/>
        <v>217112.976</v>
      </c>
      <c r="W86" s="105">
        <f t="shared" si="22"/>
        <v>72370.99200000001</v>
      </c>
      <c r="X86" s="105">
        <f>L86-'раздел 4'!C88</f>
        <v>0</v>
      </c>
    </row>
    <row r="87" spans="1:24" s="31" customFormat="1" ht="13.5">
      <c r="A87" s="344" t="s">
        <v>73</v>
      </c>
      <c r="B87" s="344"/>
      <c r="C87" s="344"/>
      <c r="D87" s="110" t="s">
        <v>37</v>
      </c>
      <c r="E87" s="110" t="s">
        <v>37</v>
      </c>
      <c r="F87" s="110" t="s">
        <v>37</v>
      </c>
      <c r="G87" s="110" t="s">
        <v>37</v>
      </c>
      <c r="H87" s="77">
        <f aca="true" t="shared" si="27" ref="H87:P87">H42+H60+H66+H75+H86+H82</f>
        <v>56908.24</v>
      </c>
      <c r="I87" s="77">
        <f t="shared" si="27"/>
        <v>57449.54</v>
      </c>
      <c r="J87" s="77">
        <f t="shared" si="27"/>
        <v>42822.01</v>
      </c>
      <c r="K87" s="163">
        <f t="shared" si="27"/>
        <v>2542</v>
      </c>
      <c r="L87" s="276">
        <f t="shared" si="27"/>
        <v>19734315.459000003</v>
      </c>
      <c r="M87" s="276">
        <f t="shared" si="27"/>
        <v>0</v>
      </c>
      <c r="N87" s="276">
        <f t="shared" si="27"/>
        <v>11840589.236000001</v>
      </c>
      <c r="O87" s="276">
        <f t="shared" si="27"/>
        <v>3946863.112</v>
      </c>
      <c r="P87" s="276">
        <f t="shared" si="27"/>
        <v>3946863.1110000005</v>
      </c>
      <c r="Q87" s="95">
        <f>L87/H87</f>
        <v>346.7743064800458</v>
      </c>
      <c r="R87" s="251"/>
      <c r="S87" s="104"/>
      <c r="T87" s="104"/>
      <c r="U87" s="105">
        <f>L87-N87-O87-P87</f>
        <v>0</v>
      </c>
      <c r="V87" s="105">
        <f t="shared" si="21"/>
        <v>11840589.275400002</v>
      </c>
      <c r="W87" s="105">
        <f t="shared" si="22"/>
        <v>3946863.0918000005</v>
      </c>
      <c r="X87" s="105">
        <f>L87-'раздел 4'!C90</f>
        <v>0</v>
      </c>
    </row>
    <row r="88" spans="1:24" s="31" customFormat="1" ht="13.5">
      <c r="A88" s="360" t="s">
        <v>390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2"/>
      <c r="U88" s="209"/>
      <c r="V88" s="105">
        <f t="shared" si="21"/>
        <v>0</v>
      </c>
      <c r="W88" s="105">
        <f t="shared" si="22"/>
        <v>0</v>
      </c>
      <c r="X88" s="105">
        <f>L88-'раздел 4'!C91</f>
        <v>0</v>
      </c>
    </row>
    <row r="89" spans="1:24" s="31" customFormat="1" ht="15" customHeight="1">
      <c r="A89" s="341" t="s">
        <v>269</v>
      </c>
      <c r="B89" s="342"/>
      <c r="C89" s="343"/>
      <c r="D89" s="32"/>
      <c r="E89" s="32"/>
      <c r="F89" s="32"/>
      <c r="G89" s="32"/>
      <c r="H89" s="104"/>
      <c r="I89" s="104"/>
      <c r="J89" s="104"/>
      <c r="K89" s="164"/>
      <c r="L89" s="251"/>
      <c r="M89" s="251"/>
      <c r="N89" s="251"/>
      <c r="O89" s="251"/>
      <c r="P89" s="251"/>
      <c r="Q89" s="95"/>
      <c r="R89" s="277"/>
      <c r="S89" s="126"/>
      <c r="T89" s="101"/>
      <c r="U89" s="84"/>
      <c r="V89" s="105">
        <f t="shared" si="21"/>
        <v>0</v>
      </c>
      <c r="W89" s="105">
        <f t="shared" si="22"/>
        <v>0</v>
      </c>
      <c r="X89" s="105">
        <f>L89-'раздел 4'!C92</f>
        <v>0</v>
      </c>
    </row>
    <row r="90" spans="1:25" s="31" customFormat="1" ht="13.5">
      <c r="A90" s="9">
        <f>A85+1</f>
        <v>47</v>
      </c>
      <c r="B90" s="24" t="s">
        <v>336</v>
      </c>
      <c r="C90" s="133">
        <v>1967</v>
      </c>
      <c r="D90" s="133">
        <v>1992</v>
      </c>
      <c r="E90" s="32" t="s">
        <v>29</v>
      </c>
      <c r="F90" s="32">
        <v>2</v>
      </c>
      <c r="G90" s="32">
        <v>1</v>
      </c>
      <c r="H90" s="104">
        <v>391.6</v>
      </c>
      <c r="I90" s="104">
        <v>391.6</v>
      </c>
      <c r="J90" s="104">
        <v>362.3</v>
      </c>
      <c r="K90" s="164">
        <v>20</v>
      </c>
      <c r="L90" s="96">
        <f>'раздел 4'!C93</f>
        <v>149610.6</v>
      </c>
      <c r="M90" s="277"/>
      <c r="N90" s="96">
        <v>89766.36</v>
      </c>
      <c r="O90" s="96">
        <v>29922.12</v>
      </c>
      <c r="P90" s="96">
        <f>L90-N90-O90</f>
        <v>29922.120000000006</v>
      </c>
      <c r="Q90" s="95">
        <f>L90/H90</f>
        <v>382.04954034729315</v>
      </c>
      <c r="R90" s="96">
        <v>42000</v>
      </c>
      <c r="S90" s="126" t="s">
        <v>401</v>
      </c>
      <c r="T90" s="101" t="s">
        <v>318</v>
      </c>
      <c r="U90" s="84"/>
      <c r="V90" s="105">
        <f t="shared" si="21"/>
        <v>89766.36</v>
      </c>
      <c r="W90" s="105">
        <f t="shared" si="22"/>
        <v>29922.120000000003</v>
      </c>
      <c r="X90" s="105">
        <f>L90-'раздел 4'!C93</f>
        <v>0</v>
      </c>
      <c r="Y90" s="31" t="s">
        <v>215</v>
      </c>
    </row>
    <row r="91" spans="1:24" s="31" customFormat="1" ht="13.5">
      <c r="A91" s="52">
        <f>A90+1</f>
        <v>48</v>
      </c>
      <c r="B91" s="24" t="s">
        <v>337</v>
      </c>
      <c r="C91" s="133">
        <v>1969</v>
      </c>
      <c r="D91" s="133">
        <v>1992</v>
      </c>
      <c r="E91" s="32" t="s">
        <v>29</v>
      </c>
      <c r="F91" s="32">
        <v>2</v>
      </c>
      <c r="G91" s="32">
        <v>1</v>
      </c>
      <c r="H91" s="104">
        <v>396.5</v>
      </c>
      <c r="I91" s="104">
        <v>396.5</v>
      </c>
      <c r="J91" s="104">
        <v>367.2</v>
      </c>
      <c r="K91" s="164">
        <v>20</v>
      </c>
      <c r="L91" s="96">
        <f>'раздел 4'!C94</f>
        <v>91806.51</v>
      </c>
      <c r="M91" s="277"/>
      <c r="N91" s="96">
        <v>55083.91</v>
      </c>
      <c r="O91" s="96">
        <v>18361.3</v>
      </c>
      <c r="P91" s="96">
        <f>L91-N91-O91</f>
        <v>18361.299999999992</v>
      </c>
      <c r="Q91" s="95">
        <f>L91/H91</f>
        <v>231.54226986128623</v>
      </c>
      <c r="R91" s="96">
        <v>42000</v>
      </c>
      <c r="S91" s="126" t="s">
        <v>401</v>
      </c>
      <c r="T91" s="101" t="s">
        <v>318</v>
      </c>
      <c r="U91" s="84"/>
      <c r="V91" s="105">
        <f t="shared" si="21"/>
        <v>55083.905999999995</v>
      </c>
      <c r="W91" s="105">
        <f t="shared" si="22"/>
        <v>18361.302</v>
      </c>
      <c r="X91" s="105">
        <f>L91-'раздел 4'!C94</f>
        <v>0</v>
      </c>
    </row>
    <row r="92" spans="1:24" s="31" customFormat="1" ht="13.5">
      <c r="A92" s="52">
        <f>A91+1</f>
        <v>49</v>
      </c>
      <c r="B92" s="24" t="s">
        <v>338</v>
      </c>
      <c r="C92" s="133">
        <v>1967</v>
      </c>
      <c r="D92" s="133">
        <v>1992</v>
      </c>
      <c r="E92" s="32" t="s">
        <v>29</v>
      </c>
      <c r="F92" s="32">
        <v>2</v>
      </c>
      <c r="G92" s="32">
        <v>1</v>
      </c>
      <c r="H92" s="104">
        <v>391.3</v>
      </c>
      <c r="I92" s="104">
        <v>391.3</v>
      </c>
      <c r="J92" s="104">
        <v>362</v>
      </c>
      <c r="K92" s="164">
        <v>20</v>
      </c>
      <c r="L92" s="96">
        <f>'раздел 4'!C95</f>
        <v>91304.05</v>
      </c>
      <c r="M92" s="277"/>
      <c r="N92" s="96">
        <v>54782.43</v>
      </c>
      <c r="O92" s="96">
        <v>18260.81</v>
      </c>
      <c r="P92" s="96">
        <f>L92-N92-O92</f>
        <v>18260.81</v>
      </c>
      <c r="Q92" s="95">
        <f>L92/H92</f>
        <v>233.33516483516485</v>
      </c>
      <c r="R92" s="96">
        <v>42000</v>
      </c>
      <c r="S92" s="126" t="s">
        <v>401</v>
      </c>
      <c r="T92" s="101" t="s">
        <v>318</v>
      </c>
      <c r="U92" s="84"/>
      <c r="V92" s="105">
        <f t="shared" si="21"/>
        <v>54782.43</v>
      </c>
      <c r="W92" s="105">
        <f t="shared" si="22"/>
        <v>18260.81</v>
      </c>
      <c r="X92" s="105">
        <f>L92-'раздел 4'!C95</f>
        <v>0</v>
      </c>
    </row>
    <row r="93" spans="1:24" s="31" customFormat="1" ht="17.25" customHeight="1">
      <c r="A93" s="388" t="s">
        <v>64</v>
      </c>
      <c r="B93" s="389"/>
      <c r="C93" s="136"/>
      <c r="D93" s="32"/>
      <c r="E93" s="32"/>
      <c r="F93" s="32"/>
      <c r="G93" s="32"/>
      <c r="H93" s="29">
        <f aca="true" t="shared" si="28" ref="H93:P93">SUM(H90:H92)</f>
        <v>1179.4</v>
      </c>
      <c r="I93" s="29">
        <f t="shared" si="28"/>
        <v>1179.4</v>
      </c>
      <c r="J93" s="29">
        <f t="shared" si="28"/>
        <v>1091.5</v>
      </c>
      <c r="K93" s="159">
        <f t="shared" si="28"/>
        <v>60</v>
      </c>
      <c r="L93" s="73">
        <f t="shared" si="28"/>
        <v>332721.16</v>
      </c>
      <c r="M93" s="73">
        <f t="shared" si="28"/>
        <v>0</v>
      </c>
      <c r="N93" s="73">
        <f t="shared" si="28"/>
        <v>199632.7</v>
      </c>
      <c r="O93" s="73">
        <f t="shared" si="28"/>
        <v>66544.23</v>
      </c>
      <c r="P93" s="73">
        <f t="shared" si="28"/>
        <v>66544.23</v>
      </c>
      <c r="Q93" s="95">
        <f>L93/H93</f>
        <v>282.11053077836186</v>
      </c>
      <c r="R93" s="277"/>
      <c r="S93" s="135"/>
      <c r="T93" s="137"/>
      <c r="U93" s="105">
        <f>L93-N93-O93-P93</f>
        <v>0</v>
      </c>
      <c r="V93" s="105">
        <f t="shared" si="21"/>
        <v>199632.69599999997</v>
      </c>
      <c r="W93" s="105">
        <f t="shared" si="22"/>
        <v>66544.232</v>
      </c>
      <c r="X93" s="105">
        <f>L93-'раздел 4'!C96</f>
        <v>0</v>
      </c>
    </row>
    <row r="94" spans="1:25" s="31" customFormat="1" ht="15" customHeight="1">
      <c r="A94" s="307" t="s">
        <v>118</v>
      </c>
      <c r="B94" s="307"/>
      <c r="C94" s="307"/>
      <c r="D94" s="104"/>
      <c r="E94" s="104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195"/>
      <c r="V94" s="105">
        <f t="shared" si="21"/>
        <v>0</v>
      </c>
      <c r="W94" s="105">
        <f t="shared" si="22"/>
        <v>0</v>
      </c>
      <c r="X94" s="105">
        <f>L94-'раздел 4'!C97</f>
        <v>0</v>
      </c>
      <c r="Y94" s="97" t="s">
        <v>197</v>
      </c>
    </row>
    <row r="95" spans="1:24" s="31" customFormat="1" ht="13.5">
      <c r="A95" s="98">
        <f>A92+1</f>
        <v>50</v>
      </c>
      <c r="B95" s="30" t="s">
        <v>119</v>
      </c>
      <c r="C95" s="138">
        <v>1991</v>
      </c>
      <c r="D95" s="206"/>
      <c r="E95" s="206" t="s">
        <v>121</v>
      </c>
      <c r="F95" s="138">
        <v>9</v>
      </c>
      <c r="G95" s="138">
        <v>3</v>
      </c>
      <c r="H95" s="139">
        <v>8903.8</v>
      </c>
      <c r="I95" s="139">
        <v>6095.2</v>
      </c>
      <c r="J95" s="139">
        <v>5302.65</v>
      </c>
      <c r="K95" s="165">
        <v>300</v>
      </c>
      <c r="L95" s="278">
        <f>'раздел 4'!C98</f>
        <v>703776.25</v>
      </c>
      <c r="M95" s="96">
        <v>0</v>
      </c>
      <c r="N95" s="96">
        <v>422265.75</v>
      </c>
      <c r="O95" s="96">
        <v>140755.25</v>
      </c>
      <c r="P95" s="96">
        <f>L95-N95-O95</f>
        <v>140755.25</v>
      </c>
      <c r="Q95" s="95">
        <f>L95/H95</f>
        <v>79.042234776163</v>
      </c>
      <c r="R95" s="96">
        <v>42000</v>
      </c>
      <c r="S95" s="126" t="s">
        <v>401</v>
      </c>
      <c r="T95" s="101" t="s">
        <v>318</v>
      </c>
      <c r="U95" s="83"/>
      <c r="V95" s="105">
        <f t="shared" si="21"/>
        <v>422265.75</v>
      </c>
      <c r="W95" s="105">
        <f t="shared" si="22"/>
        <v>140755.25</v>
      </c>
      <c r="X95" s="105">
        <f>L95-'раздел 4'!C98</f>
        <v>0</v>
      </c>
    </row>
    <row r="96" spans="1:24" s="31" customFormat="1" ht="13.5">
      <c r="A96" s="98">
        <f>A95+1</f>
        <v>51</v>
      </c>
      <c r="B96" s="30" t="s">
        <v>120</v>
      </c>
      <c r="C96" s="138">
        <v>1989</v>
      </c>
      <c r="D96" s="206"/>
      <c r="E96" s="206" t="s">
        <v>121</v>
      </c>
      <c r="F96" s="138">
        <v>9</v>
      </c>
      <c r="G96" s="138">
        <v>7</v>
      </c>
      <c r="H96" s="139">
        <v>17609.8</v>
      </c>
      <c r="I96" s="139">
        <v>13640.3</v>
      </c>
      <c r="J96" s="139">
        <v>12312.7</v>
      </c>
      <c r="K96" s="165">
        <v>630</v>
      </c>
      <c r="L96" s="278">
        <f>'раздел 4'!C99</f>
        <v>1659763.99</v>
      </c>
      <c r="M96" s="96">
        <v>0</v>
      </c>
      <c r="N96" s="96">
        <v>995858.39</v>
      </c>
      <c r="O96" s="96">
        <v>331952.8</v>
      </c>
      <c r="P96" s="96">
        <f>L96-N96-O96</f>
        <v>331952.8</v>
      </c>
      <c r="Q96" s="95">
        <f>L96/H96</f>
        <v>94.25229076991221</v>
      </c>
      <c r="R96" s="96">
        <v>42000</v>
      </c>
      <c r="S96" s="126" t="s">
        <v>401</v>
      </c>
      <c r="T96" s="101" t="s">
        <v>318</v>
      </c>
      <c r="U96" s="83"/>
      <c r="V96" s="105">
        <f t="shared" si="21"/>
        <v>995858.394</v>
      </c>
      <c r="W96" s="105">
        <f t="shared" si="22"/>
        <v>331952.798</v>
      </c>
      <c r="X96" s="105">
        <f>L96-'раздел 4'!C99</f>
        <v>0</v>
      </c>
    </row>
    <row r="97" spans="1:24" s="31" customFormat="1" ht="13.5">
      <c r="A97" s="357" t="s">
        <v>64</v>
      </c>
      <c r="B97" s="357"/>
      <c r="C97" s="32" t="s">
        <v>37</v>
      </c>
      <c r="D97" s="32" t="s">
        <v>37</v>
      </c>
      <c r="E97" s="32" t="s">
        <v>37</v>
      </c>
      <c r="F97" s="32" t="s">
        <v>37</v>
      </c>
      <c r="G97" s="32" t="s">
        <v>37</v>
      </c>
      <c r="H97" s="104">
        <f aca="true" t="shared" si="29" ref="H97:P97">SUM(H95:H96)</f>
        <v>26513.6</v>
      </c>
      <c r="I97" s="104">
        <f t="shared" si="29"/>
        <v>19735.5</v>
      </c>
      <c r="J97" s="104">
        <f t="shared" si="29"/>
        <v>17615.35</v>
      </c>
      <c r="K97" s="164">
        <f t="shared" si="29"/>
        <v>930</v>
      </c>
      <c r="L97" s="276">
        <f t="shared" si="29"/>
        <v>2363540.24</v>
      </c>
      <c r="M97" s="251">
        <f t="shared" si="29"/>
        <v>0</v>
      </c>
      <c r="N97" s="251">
        <f t="shared" si="29"/>
        <v>1418124.1400000001</v>
      </c>
      <c r="O97" s="251">
        <f t="shared" si="29"/>
        <v>472708.05</v>
      </c>
      <c r="P97" s="251">
        <f t="shared" si="29"/>
        <v>472708.05</v>
      </c>
      <c r="Q97" s="95">
        <f>L97/H97</f>
        <v>89.1444481322793</v>
      </c>
      <c r="R97" s="96">
        <v>42000</v>
      </c>
      <c r="S97" s="126" t="s">
        <v>401</v>
      </c>
      <c r="T97" s="104"/>
      <c r="U97" s="105">
        <f>L97-N97-O97-P97</f>
        <v>0</v>
      </c>
      <c r="V97" s="105">
        <f t="shared" si="21"/>
        <v>1418124.144</v>
      </c>
      <c r="W97" s="105">
        <f t="shared" si="22"/>
        <v>472708.04800000007</v>
      </c>
      <c r="X97" s="105">
        <f>L97-'раздел 4'!C100</f>
        <v>0</v>
      </c>
    </row>
    <row r="98" spans="1:25" s="31" customFormat="1" ht="15" customHeight="1">
      <c r="A98" s="307" t="s">
        <v>74</v>
      </c>
      <c r="B98" s="307"/>
      <c r="C98" s="307"/>
      <c r="D98" s="104"/>
      <c r="E98" s="104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195"/>
      <c r="V98" s="105">
        <f t="shared" si="21"/>
        <v>0</v>
      </c>
      <c r="W98" s="105">
        <f t="shared" si="22"/>
        <v>0</v>
      </c>
      <c r="X98" s="105">
        <f>L98-'раздел 4'!C101</f>
        <v>0</v>
      </c>
      <c r="Y98" s="31" t="s">
        <v>216</v>
      </c>
    </row>
    <row r="99" spans="1:24" s="31" customFormat="1" ht="15">
      <c r="A99" s="98">
        <f>A96+1</f>
        <v>52</v>
      </c>
      <c r="B99" s="154" t="s">
        <v>148</v>
      </c>
      <c r="C99" s="98">
        <v>1990</v>
      </c>
      <c r="D99" s="32"/>
      <c r="E99" s="32" t="s">
        <v>167</v>
      </c>
      <c r="F99" s="98">
        <v>6</v>
      </c>
      <c r="G99" s="98">
        <v>6</v>
      </c>
      <c r="H99" s="32">
        <v>8643</v>
      </c>
      <c r="I99" s="33">
        <v>5163</v>
      </c>
      <c r="J99" s="33">
        <v>4968.1</v>
      </c>
      <c r="K99" s="166">
        <v>232</v>
      </c>
      <c r="L99" s="279">
        <f>'раздел 4'!C102</f>
        <v>1385943.06</v>
      </c>
      <c r="M99" s="280"/>
      <c r="N99" s="96">
        <v>831565.84</v>
      </c>
      <c r="O99" s="96">
        <v>277188.61</v>
      </c>
      <c r="P99" s="96">
        <f aca="true" t="shared" si="30" ref="P99:P117">L99-N99-O99</f>
        <v>277188.6100000001</v>
      </c>
      <c r="Q99" s="33">
        <f aca="true" t="shared" si="31" ref="Q99:Q117">L99/H99</f>
        <v>160.35439777854913</v>
      </c>
      <c r="R99" s="96">
        <v>42000</v>
      </c>
      <c r="S99" s="126" t="s">
        <v>401</v>
      </c>
      <c r="T99" s="101" t="s">
        <v>318</v>
      </c>
      <c r="U99" s="83"/>
      <c r="V99" s="105">
        <f t="shared" si="21"/>
        <v>831565.836</v>
      </c>
      <c r="W99" s="105">
        <f t="shared" si="22"/>
        <v>277188.612</v>
      </c>
      <c r="X99" s="105">
        <f>L99-'раздел 4'!C102</f>
        <v>0</v>
      </c>
    </row>
    <row r="100" spans="1:24" s="31" customFormat="1" ht="15">
      <c r="A100" s="98">
        <f aca="true" t="shared" si="32" ref="A100:A117">A99+1</f>
        <v>53</v>
      </c>
      <c r="B100" s="154" t="s">
        <v>149</v>
      </c>
      <c r="C100" s="98">
        <v>1988</v>
      </c>
      <c r="D100" s="32"/>
      <c r="E100" s="32" t="s">
        <v>167</v>
      </c>
      <c r="F100" s="98">
        <v>6</v>
      </c>
      <c r="G100" s="98">
        <v>3</v>
      </c>
      <c r="H100" s="32">
        <v>15055</v>
      </c>
      <c r="I100" s="33">
        <v>5828.3</v>
      </c>
      <c r="J100" s="33">
        <v>5523.9</v>
      </c>
      <c r="K100" s="166">
        <v>199</v>
      </c>
      <c r="L100" s="279">
        <f>'раздел 4'!C103</f>
        <v>685741.68</v>
      </c>
      <c r="M100" s="280"/>
      <c r="N100" s="96">
        <v>411445</v>
      </c>
      <c r="O100" s="96">
        <v>137148.34</v>
      </c>
      <c r="P100" s="96">
        <f>L100-N100-O100</f>
        <v>137148.34000000005</v>
      </c>
      <c r="Q100" s="33">
        <f t="shared" si="31"/>
        <v>45.54909863832614</v>
      </c>
      <c r="R100" s="96">
        <v>42000</v>
      </c>
      <c r="S100" s="126" t="s">
        <v>401</v>
      </c>
      <c r="T100" s="101" t="s">
        <v>318</v>
      </c>
      <c r="U100" s="83"/>
      <c r="V100" s="105">
        <f t="shared" si="21"/>
        <v>411445.00800000003</v>
      </c>
      <c r="W100" s="105">
        <f t="shared" si="22"/>
        <v>137148.336</v>
      </c>
      <c r="X100" s="105">
        <f>L100-'раздел 4'!C103</f>
        <v>0</v>
      </c>
    </row>
    <row r="101" spans="1:24" s="31" customFormat="1" ht="14.25" customHeight="1">
      <c r="A101" s="98">
        <f t="shared" si="32"/>
        <v>54</v>
      </c>
      <c r="B101" s="155" t="s">
        <v>150</v>
      </c>
      <c r="C101" s="34">
        <v>1917</v>
      </c>
      <c r="D101" s="35"/>
      <c r="E101" s="32" t="s">
        <v>167</v>
      </c>
      <c r="F101" s="36">
        <v>2</v>
      </c>
      <c r="G101" s="37">
        <v>2</v>
      </c>
      <c r="H101" s="38">
        <v>1231</v>
      </c>
      <c r="I101" s="206">
        <v>509.2</v>
      </c>
      <c r="J101" s="32">
        <v>509.2</v>
      </c>
      <c r="K101" s="87">
        <v>32</v>
      </c>
      <c r="L101" s="279">
        <f>'раздел 4'!C104</f>
        <v>307306.73</v>
      </c>
      <c r="M101" s="234"/>
      <c r="N101" s="96">
        <v>184384.03</v>
      </c>
      <c r="O101" s="96">
        <v>61461.35</v>
      </c>
      <c r="P101" s="96">
        <f t="shared" si="30"/>
        <v>61461.349999999984</v>
      </c>
      <c r="Q101" s="32">
        <f t="shared" si="31"/>
        <v>249.63991064175465</v>
      </c>
      <c r="R101" s="96">
        <v>42000</v>
      </c>
      <c r="S101" s="126" t="s">
        <v>401</v>
      </c>
      <c r="T101" s="101" t="s">
        <v>318</v>
      </c>
      <c r="U101" s="83"/>
      <c r="V101" s="105">
        <f t="shared" si="21"/>
        <v>184384.03799999997</v>
      </c>
      <c r="W101" s="105">
        <f t="shared" si="22"/>
        <v>61461.346</v>
      </c>
      <c r="X101" s="105">
        <f>L101-'раздел 4'!C104</f>
        <v>0</v>
      </c>
    </row>
    <row r="102" spans="1:24" s="31" customFormat="1" ht="15">
      <c r="A102" s="98">
        <f t="shared" si="32"/>
        <v>55</v>
      </c>
      <c r="B102" s="156" t="s">
        <v>151</v>
      </c>
      <c r="C102" s="39">
        <v>1964</v>
      </c>
      <c r="D102" s="40"/>
      <c r="E102" s="32" t="s">
        <v>167</v>
      </c>
      <c r="F102" s="41">
        <v>4</v>
      </c>
      <c r="G102" s="98">
        <v>3</v>
      </c>
      <c r="H102" s="39">
        <v>2838.33</v>
      </c>
      <c r="I102" s="206">
        <v>2004.43</v>
      </c>
      <c r="J102" s="32">
        <v>1963.96</v>
      </c>
      <c r="K102" s="41">
        <v>79</v>
      </c>
      <c r="L102" s="279">
        <f>'раздел 4'!C105</f>
        <v>520822.84</v>
      </c>
      <c r="M102" s="234"/>
      <c r="N102" s="96">
        <v>312493.7</v>
      </c>
      <c r="O102" s="96">
        <v>104164.57</v>
      </c>
      <c r="P102" s="96">
        <f t="shared" si="30"/>
        <v>104164.57</v>
      </c>
      <c r="Q102" s="32">
        <f t="shared" si="31"/>
        <v>183.4962248928067</v>
      </c>
      <c r="R102" s="96">
        <v>42000</v>
      </c>
      <c r="S102" s="126" t="s">
        <v>401</v>
      </c>
      <c r="T102" s="101" t="s">
        <v>318</v>
      </c>
      <c r="U102" s="83"/>
      <c r="V102" s="105">
        <f t="shared" si="21"/>
        <v>312493.704</v>
      </c>
      <c r="W102" s="105">
        <f t="shared" si="22"/>
        <v>104164.56800000001</v>
      </c>
      <c r="X102" s="105">
        <f>L102-'раздел 4'!C105</f>
        <v>0</v>
      </c>
    </row>
    <row r="103" spans="1:24" s="31" customFormat="1" ht="15">
      <c r="A103" s="98">
        <f t="shared" si="32"/>
        <v>56</v>
      </c>
      <c r="B103" s="154" t="s">
        <v>152</v>
      </c>
      <c r="C103" s="98">
        <v>1988</v>
      </c>
      <c r="D103" s="32"/>
      <c r="E103" s="32" t="s">
        <v>35</v>
      </c>
      <c r="F103" s="98">
        <v>9</v>
      </c>
      <c r="G103" s="98">
        <v>2</v>
      </c>
      <c r="H103" s="32">
        <v>5884.39</v>
      </c>
      <c r="I103" s="33">
        <v>3998.39</v>
      </c>
      <c r="J103" s="33">
        <v>3563.42</v>
      </c>
      <c r="K103" s="166">
        <v>177</v>
      </c>
      <c r="L103" s="279">
        <f>'раздел 4'!C106</f>
        <v>459165.16</v>
      </c>
      <c r="M103" s="280"/>
      <c r="N103" s="96">
        <v>275499.1</v>
      </c>
      <c r="O103" s="96">
        <v>91833.03</v>
      </c>
      <c r="P103" s="96">
        <f t="shared" si="30"/>
        <v>91833.03</v>
      </c>
      <c r="Q103" s="33">
        <f t="shared" si="31"/>
        <v>78.03105504563769</v>
      </c>
      <c r="R103" s="96">
        <v>42000</v>
      </c>
      <c r="S103" s="126" t="s">
        <v>401</v>
      </c>
      <c r="T103" s="101" t="s">
        <v>318</v>
      </c>
      <c r="U103" s="83"/>
      <c r="V103" s="105">
        <f t="shared" si="21"/>
        <v>275499.09599999996</v>
      </c>
      <c r="W103" s="105">
        <f t="shared" si="22"/>
        <v>91833.032</v>
      </c>
      <c r="X103" s="105">
        <f>L103-'раздел 4'!C106</f>
        <v>0</v>
      </c>
    </row>
    <row r="104" spans="1:24" s="31" customFormat="1" ht="15">
      <c r="A104" s="98">
        <f t="shared" si="32"/>
        <v>57</v>
      </c>
      <c r="B104" s="154" t="s">
        <v>153</v>
      </c>
      <c r="C104" s="39">
        <v>1956</v>
      </c>
      <c r="D104" s="95"/>
      <c r="E104" s="32" t="s">
        <v>167</v>
      </c>
      <c r="F104" s="41">
        <v>2</v>
      </c>
      <c r="G104" s="98">
        <v>2</v>
      </c>
      <c r="H104" s="39">
        <v>714.36</v>
      </c>
      <c r="I104" s="206">
        <v>377.96</v>
      </c>
      <c r="J104" s="32">
        <v>305.96</v>
      </c>
      <c r="K104" s="41">
        <v>22</v>
      </c>
      <c r="L104" s="279">
        <f>'раздел 4'!C107</f>
        <v>364005.52</v>
      </c>
      <c r="M104" s="234"/>
      <c r="N104" s="96">
        <v>218403.32</v>
      </c>
      <c r="O104" s="96">
        <v>72801.1</v>
      </c>
      <c r="P104" s="96">
        <f t="shared" si="30"/>
        <v>72801.1</v>
      </c>
      <c r="Q104" s="32">
        <f t="shared" si="31"/>
        <v>509.55473430763203</v>
      </c>
      <c r="R104" s="96">
        <v>42000</v>
      </c>
      <c r="S104" s="126" t="s">
        <v>401</v>
      </c>
      <c r="T104" s="101" t="s">
        <v>318</v>
      </c>
      <c r="U104" s="83"/>
      <c r="V104" s="105">
        <f t="shared" si="21"/>
        <v>218403.312</v>
      </c>
      <c r="W104" s="105">
        <f t="shared" si="22"/>
        <v>72801.104</v>
      </c>
      <c r="X104" s="105">
        <f>L104-'раздел 4'!C107</f>
        <v>0</v>
      </c>
    </row>
    <row r="105" spans="1:24" s="31" customFormat="1" ht="15">
      <c r="A105" s="98">
        <f t="shared" si="32"/>
        <v>58</v>
      </c>
      <c r="B105" s="154" t="s">
        <v>154</v>
      </c>
      <c r="C105" s="39">
        <v>1956</v>
      </c>
      <c r="D105" s="95"/>
      <c r="E105" s="32" t="s">
        <v>167</v>
      </c>
      <c r="F105" s="41">
        <v>2</v>
      </c>
      <c r="G105" s="98">
        <v>2</v>
      </c>
      <c r="H105" s="39">
        <v>713.96</v>
      </c>
      <c r="I105" s="206">
        <v>377.56</v>
      </c>
      <c r="J105" s="32">
        <v>286</v>
      </c>
      <c r="K105" s="41">
        <v>24</v>
      </c>
      <c r="L105" s="279">
        <f>'раздел 4'!C108</f>
        <v>364005.52</v>
      </c>
      <c r="M105" s="234"/>
      <c r="N105" s="96">
        <v>218403.32</v>
      </c>
      <c r="O105" s="96">
        <v>72801.1</v>
      </c>
      <c r="P105" s="96">
        <f t="shared" si="30"/>
        <v>72801.1</v>
      </c>
      <c r="Q105" s="32">
        <f t="shared" si="31"/>
        <v>509.84021513810296</v>
      </c>
      <c r="R105" s="96">
        <v>42000</v>
      </c>
      <c r="S105" s="126" t="s">
        <v>401</v>
      </c>
      <c r="T105" s="101" t="s">
        <v>318</v>
      </c>
      <c r="U105" s="83"/>
      <c r="V105" s="105">
        <f t="shared" si="21"/>
        <v>218403.312</v>
      </c>
      <c r="W105" s="105">
        <f t="shared" si="22"/>
        <v>72801.104</v>
      </c>
      <c r="X105" s="105">
        <f>L105-'раздел 4'!C108</f>
        <v>0</v>
      </c>
    </row>
    <row r="106" spans="1:24" s="31" customFormat="1" ht="15">
      <c r="A106" s="98">
        <f t="shared" si="32"/>
        <v>59</v>
      </c>
      <c r="B106" s="156" t="s">
        <v>155</v>
      </c>
      <c r="C106" s="39">
        <v>1963</v>
      </c>
      <c r="D106" s="95"/>
      <c r="E106" s="32" t="s">
        <v>167</v>
      </c>
      <c r="F106" s="41">
        <v>4</v>
      </c>
      <c r="G106" s="98">
        <v>3</v>
      </c>
      <c r="H106" s="39">
        <v>3616.01</v>
      </c>
      <c r="I106" s="206">
        <v>2038.31</v>
      </c>
      <c r="J106" s="32">
        <v>1646.33</v>
      </c>
      <c r="K106" s="41">
        <v>94</v>
      </c>
      <c r="L106" s="279">
        <f>'раздел 4'!C109</f>
        <v>518006.6</v>
      </c>
      <c r="M106" s="234"/>
      <c r="N106" s="96">
        <v>310803.96</v>
      </c>
      <c r="O106" s="96">
        <v>103601.32</v>
      </c>
      <c r="P106" s="96">
        <f t="shared" si="30"/>
        <v>103601.31999999995</v>
      </c>
      <c r="Q106" s="32">
        <f t="shared" si="31"/>
        <v>143.25364144457563</v>
      </c>
      <c r="R106" s="96">
        <v>42000</v>
      </c>
      <c r="S106" s="126" t="s">
        <v>401</v>
      </c>
      <c r="T106" s="101" t="s">
        <v>318</v>
      </c>
      <c r="U106" s="83"/>
      <c r="V106" s="105">
        <f t="shared" si="21"/>
        <v>310803.95999999996</v>
      </c>
      <c r="W106" s="105">
        <f t="shared" si="22"/>
        <v>103601.32</v>
      </c>
      <c r="X106" s="105">
        <f>L106-'раздел 4'!C109</f>
        <v>0</v>
      </c>
    </row>
    <row r="107" spans="1:24" s="31" customFormat="1" ht="15">
      <c r="A107" s="98">
        <f t="shared" si="32"/>
        <v>60</v>
      </c>
      <c r="B107" s="156" t="s">
        <v>156</v>
      </c>
      <c r="C107" s="39">
        <v>1960</v>
      </c>
      <c r="D107" s="1"/>
      <c r="E107" s="32" t="s">
        <v>167</v>
      </c>
      <c r="F107" s="41">
        <v>3</v>
      </c>
      <c r="G107" s="98">
        <v>3</v>
      </c>
      <c r="H107" s="39">
        <v>2433.9</v>
      </c>
      <c r="I107" s="206">
        <v>1514.4</v>
      </c>
      <c r="J107" s="32">
        <v>1150.4</v>
      </c>
      <c r="K107" s="41">
        <v>84</v>
      </c>
      <c r="L107" s="279">
        <f>'раздел 4'!C110</f>
        <v>701367.15</v>
      </c>
      <c r="M107" s="234"/>
      <c r="N107" s="96">
        <v>420820.29</v>
      </c>
      <c r="O107" s="96">
        <v>140273.43</v>
      </c>
      <c r="P107" s="96">
        <f t="shared" si="30"/>
        <v>140273.43000000005</v>
      </c>
      <c r="Q107" s="32">
        <f t="shared" si="31"/>
        <v>288.16596819918647</v>
      </c>
      <c r="R107" s="96">
        <v>42000</v>
      </c>
      <c r="S107" s="126" t="s">
        <v>401</v>
      </c>
      <c r="T107" s="101" t="s">
        <v>318</v>
      </c>
      <c r="U107" s="83"/>
      <c r="V107" s="105">
        <f t="shared" si="21"/>
        <v>420820.29</v>
      </c>
      <c r="W107" s="105">
        <f t="shared" si="22"/>
        <v>140273.43000000002</v>
      </c>
      <c r="X107" s="105">
        <f>L107-'раздел 4'!C110</f>
        <v>0</v>
      </c>
    </row>
    <row r="108" spans="1:24" s="31" customFormat="1" ht="15">
      <c r="A108" s="98">
        <f t="shared" si="32"/>
        <v>61</v>
      </c>
      <c r="B108" s="154" t="s">
        <v>157</v>
      </c>
      <c r="C108" s="39">
        <v>1917</v>
      </c>
      <c r="D108" s="1"/>
      <c r="E108" s="32" t="s">
        <v>168</v>
      </c>
      <c r="F108" s="41">
        <v>2</v>
      </c>
      <c r="G108" s="98">
        <v>1</v>
      </c>
      <c r="H108" s="39">
        <v>453.21</v>
      </c>
      <c r="I108" s="206">
        <v>255.6</v>
      </c>
      <c r="J108" s="32">
        <v>255.6</v>
      </c>
      <c r="K108" s="41">
        <v>23</v>
      </c>
      <c r="L108" s="279">
        <f>'раздел 4'!C111</f>
        <v>244633.09</v>
      </c>
      <c r="M108" s="234"/>
      <c r="N108" s="96">
        <v>146779.85</v>
      </c>
      <c r="O108" s="96">
        <v>48926.62</v>
      </c>
      <c r="P108" s="96">
        <f t="shared" si="30"/>
        <v>48926.61999999999</v>
      </c>
      <c r="Q108" s="32">
        <f t="shared" si="31"/>
        <v>539.7786677257784</v>
      </c>
      <c r="R108" s="96">
        <v>42000</v>
      </c>
      <c r="S108" s="126" t="s">
        <v>401</v>
      </c>
      <c r="T108" s="101" t="s">
        <v>318</v>
      </c>
      <c r="U108" s="83"/>
      <c r="V108" s="105">
        <f t="shared" si="21"/>
        <v>146779.854</v>
      </c>
      <c r="W108" s="105">
        <f t="shared" si="22"/>
        <v>48926.618</v>
      </c>
      <c r="X108" s="105">
        <f>L108-'раздел 4'!C111</f>
        <v>0</v>
      </c>
    </row>
    <row r="109" spans="1:24" s="31" customFormat="1" ht="15">
      <c r="A109" s="98">
        <f t="shared" si="32"/>
        <v>62</v>
      </c>
      <c r="B109" s="154" t="s">
        <v>158</v>
      </c>
      <c r="C109" s="98">
        <v>1990</v>
      </c>
      <c r="D109" s="32"/>
      <c r="E109" s="32" t="s">
        <v>35</v>
      </c>
      <c r="F109" s="98">
        <v>9</v>
      </c>
      <c r="G109" s="98">
        <v>4</v>
      </c>
      <c r="H109" s="32">
        <v>12490.5</v>
      </c>
      <c r="I109" s="33">
        <v>8069.9</v>
      </c>
      <c r="J109" s="33">
        <v>7353.31</v>
      </c>
      <c r="K109" s="166">
        <v>350</v>
      </c>
      <c r="L109" s="279">
        <f>'раздел 4'!C112</f>
        <v>715670.01</v>
      </c>
      <c r="M109" s="280"/>
      <c r="N109" s="96">
        <v>429402.01</v>
      </c>
      <c r="O109" s="96">
        <v>143134</v>
      </c>
      <c r="P109" s="96">
        <f t="shared" si="30"/>
        <v>143134</v>
      </c>
      <c r="Q109" s="33">
        <f t="shared" si="31"/>
        <v>57.297146631439894</v>
      </c>
      <c r="R109" s="96">
        <v>42000</v>
      </c>
      <c r="S109" s="126" t="s">
        <v>401</v>
      </c>
      <c r="T109" s="101" t="s">
        <v>318</v>
      </c>
      <c r="U109" s="83"/>
      <c r="V109" s="105">
        <f t="shared" si="21"/>
        <v>429402.006</v>
      </c>
      <c r="W109" s="105">
        <f t="shared" si="22"/>
        <v>143134.002</v>
      </c>
      <c r="X109" s="105">
        <f>L109-'раздел 4'!C112</f>
        <v>0</v>
      </c>
    </row>
    <row r="110" spans="1:24" s="31" customFormat="1" ht="15">
      <c r="A110" s="98">
        <f t="shared" si="32"/>
        <v>63</v>
      </c>
      <c r="B110" s="154" t="s">
        <v>159</v>
      </c>
      <c r="C110" s="98">
        <v>1990</v>
      </c>
      <c r="D110" s="32"/>
      <c r="E110" s="32" t="s">
        <v>167</v>
      </c>
      <c r="F110" s="98">
        <v>7</v>
      </c>
      <c r="G110" s="98">
        <v>1</v>
      </c>
      <c r="H110" s="32">
        <v>2965</v>
      </c>
      <c r="I110" s="33">
        <v>1538.3</v>
      </c>
      <c r="J110" s="33">
        <v>1504</v>
      </c>
      <c r="K110" s="166">
        <v>77</v>
      </c>
      <c r="L110" s="279">
        <f>'раздел 4'!C113</f>
        <v>227357.43</v>
      </c>
      <c r="M110" s="280"/>
      <c r="N110" s="96">
        <v>136414.45</v>
      </c>
      <c r="O110" s="96">
        <v>45471.49</v>
      </c>
      <c r="P110" s="96">
        <f t="shared" si="30"/>
        <v>45471.48999999998</v>
      </c>
      <c r="Q110" s="33">
        <f t="shared" si="31"/>
        <v>76.68041483979763</v>
      </c>
      <c r="R110" s="96">
        <v>42000</v>
      </c>
      <c r="S110" s="126" t="s">
        <v>401</v>
      </c>
      <c r="T110" s="101" t="s">
        <v>318</v>
      </c>
      <c r="U110" s="83"/>
      <c r="V110" s="105">
        <f t="shared" si="21"/>
        <v>136414.45799999998</v>
      </c>
      <c r="W110" s="105">
        <f t="shared" si="22"/>
        <v>45471.486000000004</v>
      </c>
      <c r="X110" s="105">
        <f>L110-'раздел 4'!C113</f>
        <v>0</v>
      </c>
    </row>
    <row r="111" spans="1:24" s="31" customFormat="1" ht="15">
      <c r="A111" s="98">
        <f t="shared" si="32"/>
        <v>64</v>
      </c>
      <c r="B111" s="154" t="s">
        <v>160</v>
      </c>
      <c r="C111" s="98">
        <v>1989</v>
      </c>
      <c r="D111" s="32"/>
      <c r="E111" s="32" t="s">
        <v>167</v>
      </c>
      <c r="F111" s="98">
        <v>9</v>
      </c>
      <c r="G111" s="98">
        <v>2</v>
      </c>
      <c r="H111" s="32">
        <v>7847.28</v>
      </c>
      <c r="I111" s="33">
        <v>3564.75</v>
      </c>
      <c r="J111" s="33">
        <v>3233.18</v>
      </c>
      <c r="K111" s="166">
        <v>159</v>
      </c>
      <c r="L111" s="279">
        <f>'раздел 4'!C114</f>
        <v>460770.79</v>
      </c>
      <c r="M111" s="280"/>
      <c r="N111" s="96">
        <v>276462.47</v>
      </c>
      <c r="O111" s="96">
        <v>92154.16</v>
      </c>
      <c r="P111" s="96">
        <f t="shared" si="30"/>
        <v>92154.16</v>
      </c>
      <c r="Q111" s="33">
        <f t="shared" si="31"/>
        <v>58.71726126759845</v>
      </c>
      <c r="R111" s="96">
        <v>42000</v>
      </c>
      <c r="S111" s="126" t="s">
        <v>401</v>
      </c>
      <c r="T111" s="101" t="s">
        <v>318</v>
      </c>
      <c r="U111" s="83"/>
      <c r="V111" s="105">
        <f t="shared" si="21"/>
        <v>276462.474</v>
      </c>
      <c r="W111" s="105">
        <f t="shared" si="22"/>
        <v>92154.158</v>
      </c>
      <c r="X111" s="105">
        <f>L111-'раздел 4'!C114</f>
        <v>0</v>
      </c>
    </row>
    <row r="112" spans="1:24" s="31" customFormat="1" ht="15">
      <c r="A112" s="98">
        <f t="shared" si="32"/>
        <v>65</v>
      </c>
      <c r="B112" s="156" t="s">
        <v>161</v>
      </c>
      <c r="C112" s="39">
        <v>1917</v>
      </c>
      <c r="D112" s="1"/>
      <c r="E112" s="32" t="s">
        <v>168</v>
      </c>
      <c r="F112" s="41">
        <v>2</v>
      </c>
      <c r="G112" s="98">
        <v>1</v>
      </c>
      <c r="H112" s="39">
        <v>526.5</v>
      </c>
      <c r="I112" s="206">
        <v>284.57</v>
      </c>
      <c r="J112" s="32">
        <v>211.63</v>
      </c>
      <c r="K112" s="41">
        <v>15</v>
      </c>
      <c r="L112" s="279">
        <f>'раздел 4'!C115</f>
        <v>373902.93000000005</v>
      </c>
      <c r="M112" s="234"/>
      <c r="N112" s="96">
        <v>224341.75</v>
      </c>
      <c r="O112" s="96">
        <v>74780.59</v>
      </c>
      <c r="P112" s="96">
        <f t="shared" si="30"/>
        <v>74780.59000000005</v>
      </c>
      <c r="Q112" s="32">
        <f t="shared" si="31"/>
        <v>710.1670085470087</v>
      </c>
      <c r="R112" s="96">
        <v>42000</v>
      </c>
      <c r="S112" s="126" t="s">
        <v>401</v>
      </c>
      <c r="T112" s="101" t="s">
        <v>318</v>
      </c>
      <c r="U112" s="83"/>
      <c r="V112" s="105">
        <f t="shared" si="21"/>
        <v>224341.75800000003</v>
      </c>
      <c r="W112" s="105">
        <f t="shared" si="22"/>
        <v>74780.58600000001</v>
      </c>
      <c r="X112" s="105">
        <f>L112-'раздел 4'!C115</f>
        <v>0</v>
      </c>
    </row>
    <row r="113" spans="1:24" s="31" customFormat="1" ht="15">
      <c r="A113" s="98">
        <f t="shared" si="32"/>
        <v>66</v>
      </c>
      <c r="B113" s="154" t="s">
        <v>162</v>
      </c>
      <c r="C113" s="39">
        <v>1917</v>
      </c>
      <c r="D113" s="99"/>
      <c r="E113" s="32" t="s">
        <v>168</v>
      </c>
      <c r="F113" s="41">
        <v>2</v>
      </c>
      <c r="G113" s="98">
        <v>1</v>
      </c>
      <c r="H113" s="39">
        <v>855.7</v>
      </c>
      <c r="I113" s="206">
        <v>537.7</v>
      </c>
      <c r="J113" s="32">
        <v>484</v>
      </c>
      <c r="K113" s="41">
        <v>22</v>
      </c>
      <c r="L113" s="279">
        <f>'раздел 4'!C116</f>
        <v>305709.1</v>
      </c>
      <c r="M113" s="234"/>
      <c r="N113" s="96">
        <v>183425.46</v>
      </c>
      <c r="O113" s="96">
        <v>61141.82</v>
      </c>
      <c r="P113" s="96">
        <f t="shared" si="30"/>
        <v>61141.819999999985</v>
      </c>
      <c r="Q113" s="32">
        <f t="shared" si="31"/>
        <v>357.26200771298346</v>
      </c>
      <c r="R113" s="96">
        <v>42000</v>
      </c>
      <c r="S113" s="126" t="s">
        <v>401</v>
      </c>
      <c r="T113" s="101" t="s">
        <v>318</v>
      </c>
      <c r="U113" s="83"/>
      <c r="V113" s="105">
        <f t="shared" si="21"/>
        <v>183425.46</v>
      </c>
      <c r="W113" s="105">
        <f t="shared" si="22"/>
        <v>61141.82</v>
      </c>
      <c r="X113" s="105">
        <f>L113-'раздел 4'!C116</f>
        <v>0</v>
      </c>
    </row>
    <row r="114" spans="1:24" s="31" customFormat="1" ht="15">
      <c r="A114" s="98">
        <f t="shared" si="32"/>
        <v>67</v>
      </c>
      <c r="B114" s="154" t="s">
        <v>163</v>
      </c>
      <c r="C114" s="39">
        <v>1917</v>
      </c>
      <c r="D114" s="99"/>
      <c r="E114" s="32" t="s">
        <v>168</v>
      </c>
      <c r="F114" s="41">
        <v>2</v>
      </c>
      <c r="G114" s="98">
        <v>2</v>
      </c>
      <c r="H114" s="39">
        <v>744.6</v>
      </c>
      <c r="I114" s="206">
        <v>481.5</v>
      </c>
      <c r="J114" s="32">
        <v>167</v>
      </c>
      <c r="K114" s="41">
        <v>23</v>
      </c>
      <c r="L114" s="279">
        <f>'раздел 4'!C117</f>
        <v>449666.04</v>
      </c>
      <c r="M114" s="234"/>
      <c r="N114" s="96">
        <v>269799.62</v>
      </c>
      <c r="O114" s="96">
        <v>89933.21</v>
      </c>
      <c r="P114" s="96">
        <f t="shared" si="30"/>
        <v>89933.20999999998</v>
      </c>
      <c r="Q114" s="32">
        <f t="shared" si="31"/>
        <v>603.9028203062046</v>
      </c>
      <c r="R114" s="96">
        <v>42000</v>
      </c>
      <c r="S114" s="126" t="s">
        <v>401</v>
      </c>
      <c r="T114" s="101" t="s">
        <v>318</v>
      </c>
      <c r="U114" s="83"/>
      <c r="V114" s="105">
        <f t="shared" si="21"/>
        <v>269799.62399999995</v>
      </c>
      <c r="W114" s="105">
        <f t="shared" si="22"/>
        <v>89933.208</v>
      </c>
      <c r="X114" s="105">
        <f>L114-'раздел 4'!C117</f>
        <v>0</v>
      </c>
    </row>
    <row r="115" spans="1:24" s="31" customFormat="1" ht="15">
      <c r="A115" s="98">
        <f t="shared" si="32"/>
        <v>68</v>
      </c>
      <c r="B115" s="154" t="s">
        <v>164</v>
      </c>
      <c r="C115" s="39">
        <v>1917</v>
      </c>
      <c r="D115" s="99"/>
      <c r="E115" s="32" t="s">
        <v>168</v>
      </c>
      <c r="F115" s="41">
        <v>2</v>
      </c>
      <c r="G115" s="98">
        <v>2</v>
      </c>
      <c r="H115" s="39">
        <v>647.49</v>
      </c>
      <c r="I115" s="206">
        <v>347.68</v>
      </c>
      <c r="J115" s="32">
        <v>203.3</v>
      </c>
      <c r="K115" s="41">
        <v>24</v>
      </c>
      <c r="L115" s="279">
        <f>'раздел 4'!C118</f>
        <v>457242.36</v>
      </c>
      <c r="M115" s="234"/>
      <c r="N115" s="96">
        <v>274345.42</v>
      </c>
      <c r="O115" s="96">
        <v>91448.47</v>
      </c>
      <c r="P115" s="96">
        <f t="shared" si="30"/>
        <v>91448.47</v>
      </c>
      <c r="Q115" s="32">
        <f t="shared" si="31"/>
        <v>706.1767131538711</v>
      </c>
      <c r="R115" s="96">
        <v>42000</v>
      </c>
      <c r="S115" s="126" t="s">
        <v>401</v>
      </c>
      <c r="T115" s="101" t="s">
        <v>318</v>
      </c>
      <c r="U115" s="83"/>
      <c r="V115" s="105">
        <f t="shared" si="21"/>
        <v>274345.41599999997</v>
      </c>
      <c r="W115" s="105">
        <f t="shared" si="22"/>
        <v>91448.47200000001</v>
      </c>
      <c r="X115" s="105">
        <f>L115-'раздел 4'!C118</f>
        <v>0</v>
      </c>
    </row>
    <row r="116" spans="1:24" s="31" customFormat="1" ht="15">
      <c r="A116" s="98">
        <f t="shared" si="32"/>
        <v>69</v>
      </c>
      <c r="B116" s="154" t="s">
        <v>165</v>
      </c>
      <c r="C116" s="39">
        <v>1917</v>
      </c>
      <c r="D116" s="99"/>
      <c r="E116" s="32" t="s">
        <v>168</v>
      </c>
      <c r="F116" s="41">
        <v>2</v>
      </c>
      <c r="G116" s="98">
        <v>1</v>
      </c>
      <c r="H116" s="39">
        <v>494.6</v>
      </c>
      <c r="I116" s="206">
        <v>196.5</v>
      </c>
      <c r="J116" s="32">
        <v>196.5</v>
      </c>
      <c r="K116" s="41">
        <v>5</v>
      </c>
      <c r="L116" s="279">
        <f>'раздел 4'!C119</f>
        <v>341304.8</v>
      </c>
      <c r="M116" s="234"/>
      <c r="N116" s="96">
        <v>204782.88</v>
      </c>
      <c r="O116" s="96">
        <v>68260.96</v>
      </c>
      <c r="P116" s="96">
        <f t="shared" si="30"/>
        <v>68260.95999999998</v>
      </c>
      <c r="Q116" s="32">
        <f t="shared" si="31"/>
        <v>690.0622725434694</v>
      </c>
      <c r="R116" s="96">
        <v>42000</v>
      </c>
      <c r="S116" s="126" t="s">
        <v>401</v>
      </c>
      <c r="T116" s="101" t="s">
        <v>318</v>
      </c>
      <c r="U116" s="83"/>
      <c r="V116" s="105">
        <f t="shared" si="21"/>
        <v>204782.87999999998</v>
      </c>
      <c r="W116" s="105">
        <f t="shared" si="22"/>
        <v>68260.96</v>
      </c>
      <c r="X116" s="105">
        <f>L116-'раздел 4'!C119</f>
        <v>0</v>
      </c>
    </row>
    <row r="117" spans="1:24" s="31" customFormat="1" ht="15">
      <c r="A117" s="98">
        <f t="shared" si="32"/>
        <v>70</v>
      </c>
      <c r="B117" s="154" t="s">
        <v>166</v>
      </c>
      <c r="C117" s="39">
        <v>1917</v>
      </c>
      <c r="D117" s="99"/>
      <c r="E117" s="32" t="s">
        <v>168</v>
      </c>
      <c r="F117" s="41">
        <v>2</v>
      </c>
      <c r="G117" s="98">
        <v>2</v>
      </c>
      <c r="H117" s="39">
        <v>766.85</v>
      </c>
      <c r="I117" s="206">
        <v>322.8</v>
      </c>
      <c r="J117" s="32">
        <v>285.12</v>
      </c>
      <c r="K117" s="41">
        <v>15</v>
      </c>
      <c r="L117" s="279">
        <f>'раздел 4'!C120</f>
        <v>497317.05000000005</v>
      </c>
      <c r="M117" s="234"/>
      <c r="N117" s="96">
        <v>298390.23</v>
      </c>
      <c r="O117" s="96">
        <v>99463.41</v>
      </c>
      <c r="P117" s="96">
        <f t="shared" si="30"/>
        <v>99463.41000000006</v>
      </c>
      <c r="Q117" s="32">
        <f t="shared" si="31"/>
        <v>648.5193323335725</v>
      </c>
      <c r="R117" s="96">
        <v>42000</v>
      </c>
      <c r="S117" s="126" t="s">
        <v>401</v>
      </c>
      <c r="T117" s="101" t="s">
        <v>318</v>
      </c>
      <c r="U117" s="83"/>
      <c r="V117" s="105">
        <f t="shared" si="21"/>
        <v>298390.23000000004</v>
      </c>
      <c r="W117" s="105">
        <f t="shared" si="22"/>
        <v>99463.41000000002</v>
      </c>
      <c r="X117" s="105">
        <f>L117-'раздел 4'!C120</f>
        <v>0</v>
      </c>
    </row>
    <row r="118" spans="1:24" s="31" customFormat="1" ht="20.25" customHeight="1">
      <c r="A118" s="357" t="s">
        <v>64</v>
      </c>
      <c r="B118" s="357"/>
      <c r="C118" s="32" t="s">
        <v>37</v>
      </c>
      <c r="D118" s="32" t="s">
        <v>37</v>
      </c>
      <c r="E118" s="32" t="s">
        <v>37</v>
      </c>
      <c r="F118" s="32" t="s">
        <v>37</v>
      </c>
      <c r="G118" s="32" t="s">
        <v>37</v>
      </c>
      <c r="H118" s="104">
        <f aca="true" t="shared" si="33" ref="H118:P118">SUM(H99:H117)</f>
        <v>68921.68000000002</v>
      </c>
      <c r="I118" s="104">
        <f t="shared" si="33"/>
        <v>37410.850000000006</v>
      </c>
      <c r="J118" s="104">
        <f t="shared" si="33"/>
        <v>33810.91000000001</v>
      </c>
      <c r="K118" s="164">
        <f t="shared" si="33"/>
        <v>1656</v>
      </c>
      <c r="L118" s="251">
        <f>SUM(L99:L117)</f>
        <v>9379937.860000001</v>
      </c>
      <c r="M118" s="251">
        <f t="shared" si="33"/>
        <v>0</v>
      </c>
      <c r="N118" s="251">
        <f t="shared" si="33"/>
        <v>5627962.699999999</v>
      </c>
      <c r="O118" s="251">
        <f t="shared" si="33"/>
        <v>1875987.5799999998</v>
      </c>
      <c r="P118" s="251">
        <f t="shared" si="33"/>
        <v>1875987.58</v>
      </c>
      <c r="Q118" s="95">
        <f>L118/H118</f>
        <v>136.09560678149455</v>
      </c>
      <c r="R118" s="251"/>
      <c r="S118" s="104"/>
      <c r="T118" s="104"/>
      <c r="U118" s="105">
        <f>L118-N118-O118-P118</f>
        <v>2.0954757928848267E-09</v>
      </c>
      <c r="V118" s="105">
        <f t="shared" si="21"/>
        <v>5627962.716000001</v>
      </c>
      <c r="W118" s="105">
        <f t="shared" si="22"/>
        <v>1875987.5720000004</v>
      </c>
      <c r="X118" s="105">
        <f>L118-'раздел 4'!C121</f>
        <v>0</v>
      </c>
    </row>
    <row r="119" spans="1:24" s="31" customFormat="1" ht="13.5">
      <c r="A119" s="344" t="s">
        <v>75</v>
      </c>
      <c r="B119" s="344"/>
      <c r="C119" s="344"/>
      <c r="D119" s="110" t="s">
        <v>37</v>
      </c>
      <c r="E119" s="110" t="s">
        <v>37</v>
      </c>
      <c r="F119" s="110" t="s">
        <v>37</v>
      </c>
      <c r="G119" s="110" t="s">
        <v>37</v>
      </c>
      <c r="H119" s="104">
        <f>H118+H97</f>
        <v>95435.28000000003</v>
      </c>
      <c r="I119" s="104">
        <f>I118+I97</f>
        <v>57146.350000000006</v>
      </c>
      <c r="J119" s="104">
        <f>J118+J97</f>
        <v>51426.26000000001</v>
      </c>
      <c r="K119" s="164">
        <f>K118+K97</f>
        <v>2586</v>
      </c>
      <c r="L119" s="276">
        <f>L118+L97+L93</f>
        <v>12076199.260000002</v>
      </c>
      <c r="M119" s="276">
        <f>M118+M97+M93</f>
        <v>0</v>
      </c>
      <c r="N119" s="276">
        <f>N118+N97+N93</f>
        <v>7245719.54</v>
      </c>
      <c r="O119" s="276">
        <f>O118+O97+O93</f>
        <v>2415239.86</v>
      </c>
      <c r="P119" s="276">
        <f>P118+P97+P93</f>
        <v>2415239.86</v>
      </c>
      <c r="Q119" s="95">
        <f>L119/H119</f>
        <v>126.53810268068578</v>
      </c>
      <c r="R119" s="251"/>
      <c r="S119" s="104"/>
      <c r="T119" s="104"/>
      <c r="U119" s="105">
        <f>L119-N119-O119-P119</f>
        <v>0</v>
      </c>
      <c r="V119" s="105">
        <f t="shared" si="21"/>
        <v>7245719.556000001</v>
      </c>
      <c r="W119" s="105">
        <f t="shared" si="22"/>
        <v>2415239.8520000004</v>
      </c>
      <c r="X119" s="105">
        <f>L119-'раздел 4'!C122</f>
        <v>0</v>
      </c>
    </row>
    <row r="120" spans="1:24" s="31" customFormat="1" ht="13.5">
      <c r="A120" s="385" t="s">
        <v>366</v>
      </c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7"/>
      <c r="U120" s="199"/>
      <c r="V120" s="105">
        <f t="shared" si="21"/>
        <v>0</v>
      </c>
      <c r="W120" s="105">
        <f t="shared" si="22"/>
        <v>0</v>
      </c>
      <c r="X120" s="105">
        <f>L120-'раздел 4'!C123</f>
        <v>0</v>
      </c>
    </row>
    <row r="121" spans="1:25" s="31" customFormat="1" ht="13.5">
      <c r="A121" s="341" t="s">
        <v>270</v>
      </c>
      <c r="B121" s="342"/>
      <c r="C121" s="345"/>
      <c r="D121" s="48"/>
      <c r="E121" s="48"/>
      <c r="F121" s="48"/>
      <c r="G121" s="48"/>
      <c r="H121" s="135"/>
      <c r="I121" s="135"/>
      <c r="J121" s="135"/>
      <c r="K121" s="167"/>
      <c r="L121" s="277"/>
      <c r="M121" s="277"/>
      <c r="N121" s="277"/>
      <c r="O121" s="277"/>
      <c r="P121" s="277"/>
      <c r="Q121" s="117"/>
      <c r="R121" s="277"/>
      <c r="S121" s="135"/>
      <c r="T121" s="137"/>
      <c r="U121" s="84"/>
      <c r="V121" s="105">
        <f t="shared" si="21"/>
        <v>0</v>
      </c>
      <c r="W121" s="105">
        <f t="shared" si="22"/>
        <v>0</v>
      </c>
      <c r="X121" s="105">
        <f>L121-'раздел 4'!C124</f>
        <v>0</v>
      </c>
      <c r="Y121" s="78" t="s">
        <v>298</v>
      </c>
    </row>
    <row r="122" spans="1:24" s="31" customFormat="1" ht="13.5">
      <c r="A122" s="98">
        <f>A117+1</f>
        <v>71</v>
      </c>
      <c r="B122" s="102" t="s">
        <v>217</v>
      </c>
      <c r="C122" s="104">
        <v>1974</v>
      </c>
      <c r="D122" s="207" t="s">
        <v>32</v>
      </c>
      <c r="E122" s="206" t="s">
        <v>29</v>
      </c>
      <c r="F122" s="104">
        <v>2</v>
      </c>
      <c r="G122" s="104">
        <v>1</v>
      </c>
      <c r="H122" s="104">
        <v>333.8</v>
      </c>
      <c r="I122" s="104">
        <v>298.1</v>
      </c>
      <c r="J122" s="104">
        <v>261.1</v>
      </c>
      <c r="K122" s="164">
        <v>22</v>
      </c>
      <c r="L122" s="251">
        <f>'раздел 4'!C125</f>
        <v>139506.75</v>
      </c>
      <c r="M122" s="251"/>
      <c r="N122" s="96">
        <v>83704.05</v>
      </c>
      <c r="O122" s="96">
        <v>27901.35</v>
      </c>
      <c r="P122" s="96">
        <f>L122-N122-O122</f>
        <v>27901.35</v>
      </c>
      <c r="Q122" s="95">
        <f>L122/H122</f>
        <v>417.93514080287594</v>
      </c>
      <c r="R122" s="96">
        <v>42000</v>
      </c>
      <c r="S122" s="126" t="s">
        <v>401</v>
      </c>
      <c r="T122" s="101" t="s">
        <v>318</v>
      </c>
      <c r="U122" s="83"/>
      <c r="V122" s="105">
        <f t="shared" si="21"/>
        <v>83704.05</v>
      </c>
      <c r="W122" s="105">
        <f t="shared" si="22"/>
        <v>27901.350000000002</v>
      </c>
      <c r="X122" s="105">
        <f>L122-'раздел 4'!C125</f>
        <v>0</v>
      </c>
    </row>
    <row r="123" spans="1:24" s="31" customFormat="1" ht="24">
      <c r="A123" s="98">
        <f>A122+1</f>
        <v>72</v>
      </c>
      <c r="B123" s="102" t="s">
        <v>218</v>
      </c>
      <c r="C123" s="104">
        <v>1989</v>
      </c>
      <c r="D123" s="207" t="s">
        <v>32</v>
      </c>
      <c r="E123" s="206" t="s">
        <v>29</v>
      </c>
      <c r="F123" s="104">
        <v>3</v>
      </c>
      <c r="G123" s="104">
        <v>2</v>
      </c>
      <c r="H123" s="104">
        <v>1454.1</v>
      </c>
      <c r="I123" s="104">
        <v>1247.1</v>
      </c>
      <c r="J123" s="104">
        <v>1131.5</v>
      </c>
      <c r="K123" s="164">
        <v>44</v>
      </c>
      <c r="L123" s="251">
        <f>'раздел 4'!C126</f>
        <v>186738.13</v>
      </c>
      <c r="M123" s="251"/>
      <c r="N123" s="96">
        <v>112042.87</v>
      </c>
      <c r="O123" s="96">
        <v>37347.63</v>
      </c>
      <c r="P123" s="96">
        <f>L123-N123-O123</f>
        <v>37347.63000000001</v>
      </c>
      <c r="Q123" s="95">
        <f>L123/H123</f>
        <v>128.42179354927447</v>
      </c>
      <c r="R123" s="96">
        <v>42000</v>
      </c>
      <c r="S123" s="126" t="s">
        <v>401</v>
      </c>
      <c r="T123" s="220" t="s">
        <v>350</v>
      </c>
      <c r="U123" s="83"/>
      <c r="V123" s="105">
        <f t="shared" si="21"/>
        <v>112042.878</v>
      </c>
      <c r="W123" s="105">
        <f t="shared" si="22"/>
        <v>37347.626000000004</v>
      </c>
      <c r="X123" s="105">
        <f>L123-'раздел 4'!C126</f>
        <v>0</v>
      </c>
    </row>
    <row r="124" spans="1:24" s="31" customFormat="1" ht="13.5">
      <c r="A124" s="308" t="s">
        <v>64</v>
      </c>
      <c r="B124" s="308"/>
      <c r="C124" s="140"/>
      <c r="D124" s="140"/>
      <c r="E124" s="140"/>
      <c r="F124" s="140"/>
      <c r="G124" s="140"/>
      <c r="H124" s="124">
        <f aca="true" t="shared" si="34" ref="H124:P124">SUM(H122:H123)</f>
        <v>1787.8999999999999</v>
      </c>
      <c r="I124" s="124">
        <f t="shared" si="34"/>
        <v>1545.1999999999998</v>
      </c>
      <c r="J124" s="124">
        <f t="shared" si="34"/>
        <v>1392.6</v>
      </c>
      <c r="K124" s="164">
        <f t="shared" si="34"/>
        <v>66</v>
      </c>
      <c r="L124" s="251">
        <f t="shared" si="34"/>
        <v>326244.88</v>
      </c>
      <c r="M124" s="251">
        <f t="shared" si="34"/>
        <v>0</v>
      </c>
      <c r="N124" s="251">
        <f t="shared" si="34"/>
        <v>195746.91999999998</v>
      </c>
      <c r="O124" s="251">
        <f t="shared" si="34"/>
        <v>65248.979999999996</v>
      </c>
      <c r="P124" s="251">
        <f t="shared" si="34"/>
        <v>65248.98000000001</v>
      </c>
      <c r="Q124" s="95">
        <f>L124/H124</f>
        <v>182.47378488729797</v>
      </c>
      <c r="R124" s="251"/>
      <c r="S124" s="126"/>
      <c r="T124" s="104"/>
      <c r="U124" s="42"/>
      <c r="V124" s="120">
        <f t="shared" si="21"/>
        <v>195746.92799999999</v>
      </c>
      <c r="W124" s="120">
        <f t="shared" si="22"/>
        <v>65248.976</v>
      </c>
      <c r="X124" s="105">
        <f>L124-'раздел 4'!C127</f>
        <v>0</v>
      </c>
    </row>
    <row r="125" spans="1:24" s="83" customFormat="1" ht="13.5">
      <c r="A125" s="344" t="s">
        <v>296</v>
      </c>
      <c r="B125" s="344"/>
      <c r="C125" s="344"/>
      <c r="D125" s="110" t="s">
        <v>37</v>
      </c>
      <c r="E125" s="110" t="s">
        <v>37</v>
      </c>
      <c r="F125" s="110" t="s">
        <v>37</v>
      </c>
      <c r="G125" s="110" t="s">
        <v>37</v>
      </c>
      <c r="H125" s="77">
        <f>H124</f>
        <v>1787.8999999999999</v>
      </c>
      <c r="I125" s="77">
        <f aca="true" t="shared" si="35" ref="I125:P125">I124</f>
        <v>1545.1999999999998</v>
      </c>
      <c r="J125" s="77">
        <f t="shared" si="35"/>
        <v>1392.6</v>
      </c>
      <c r="K125" s="163">
        <f t="shared" si="35"/>
        <v>66</v>
      </c>
      <c r="L125" s="276">
        <f t="shared" si="35"/>
        <v>326244.88</v>
      </c>
      <c r="M125" s="276">
        <f t="shared" si="35"/>
        <v>0</v>
      </c>
      <c r="N125" s="276">
        <f t="shared" si="35"/>
        <v>195746.91999999998</v>
      </c>
      <c r="O125" s="276">
        <f t="shared" si="35"/>
        <v>65248.979999999996</v>
      </c>
      <c r="P125" s="276">
        <f t="shared" si="35"/>
        <v>65248.98000000001</v>
      </c>
      <c r="Q125" s="95">
        <f>L125/H125</f>
        <v>182.47378488729797</v>
      </c>
      <c r="R125" s="276"/>
      <c r="S125" s="106"/>
      <c r="T125" s="106"/>
      <c r="U125" s="105">
        <f>L125-N125-O125-P125</f>
        <v>0</v>
      </c>
      <c r="V125" s="105">
        <f t="shared" si="21"/>
        <v>195746.92799999999</v>
      </c>
      <c r="W125" s="105">
        <f t="shared" si="22"/>
        <v>65248.976</v>
      </c>
      <c r="X125" s="105">
        <f>L125-'раздел 4'!C128</f>
        <v>0</v>
      </c>
    </row>
    <row r="126" spans="1:24" s="31" customFormat="1" ht="13.5">
      <c r="A126" s="385" t="s">
        <v>76</v>
      </c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7"/>
      <c r="U126" s="199"/>
      <c r="V126" s="105">
        <f t="shared" si="21"/>
        <v>0</v>
      </c>
      <c r="W126" s="105">
        <f t="shared" si="22"/>
        <v>0</v>
      </c>
      <c r="X126" s="105">
        <f>L126-'раздел 4'!C129</f>
        <v>0</v>
      </c>
    </row>
    <row r="127" spans="1:25" s="97" customFormat="1" ht="13.5">
      <c r="A127" s="341" t="s">
        <v>77</v>
      </c>
      <c r="B127" s="342"/>
      <c r="C127" s="345"/>
      <c r="D127" s="206"/>
      <c r="E127" s="206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195"/>
      <c r="V127" s="105">
        <f t="shared" si="21"/>
        <v>0</v>
      </c>
      <c r="W127" s="105">
        <f t="shared" si="22"/>
        <v>0</v>
      </c>
      <c r="X127" s="105">
        <f>L127-'раздел 4'!C130</f>
        <v>0</v>
      </c>
      <c r="Y127" s="97" t="s">
        <v>221</v>
      </c>
    </row>
    <row r="128" spans="1:24" s="97" customFormat="1" ht="13.5">
      <c r="A128" s="98">
        <f>A123+1</f>
        <v>73</v>
      </c>
      <c r="B128" s="55" t="s">
        <v>363</v>
      </c>
      <c r="C128" s="54">
        <v>1996</v>
      </c>
      <c r="D128" s="54"/>
      <c r="E128" s="54" t="s">
        <v>28</v>
      </c>
      <c r="F128" s="54">
        <v>9</v>
      </c>
      <c r="G128" s="54">
        <v>1</v>
      </c>
      <c r="H128" s="127">
        <v>2736.5</v>
      </c>
      <c r="I128" s="127">
        <v>2534.1</v>
      </c>
      <c r="J128" s="127">
        <v>2534.1</v>
      </c>
      <c r="K128" s="158">
        <v>98</v>
      </c>
      <c r="L128" s="51">
        <f>'раздел 4'!C131</f>
        <v>1103732.26</v>
      </c>
      <c r="M128" s="96">
        <v>0</v>
      </c>
      <c r="N128" s="96">
        <v>662239.36</v>
      </c>
      <c r="O128" s="96">
        <v>220746.45</v>
      </c>
      <c r="P128" s="96">
        <f aca="true" t="shared" si="36" ref="P128:P133">L128-N128-O128</f>
        <v>220746.45</v>
      </c>
      <c r="Q128" s="95">
        <f aca="true" t="shared" si="37" ref="Q128:Q134">L128/H128</f>
        <v>403.3372044582496</v>
      </c>
      <c r="R128" s="96">
        <v>42000</v>
      </c>
      <c r="S128" s="126" t="s">
        <v>401</v>
      </c>
      <c r="T128" s="101" t="s">
        <v>318</v>
      </c>
      <c r="U128" s="86"/>
      <c r="V128" s="105">
        <f t="shared" si="21"/>
        <v>662239.356</v>
      </c>
      <c r="W128" s="105">
        <f t="shared" si="22"/>
        <v>220746.45200000002</v>
      </c>
      <c r="X128" s="105">
        <f>L128-'раздел 4'!C131</f>
        <v>0</v>
      </c>
    </row>
    <row r="129" spans="1:24" s="97" customFormat="1" ht="15" customHeight="1">
      <c r="A129" s="1">
        <f>A128+1</f>
        <v>74</v>
      </c>
      <c r="B129" s="55" t="s">
        <v>364</v>
      </c>
      <c r="C129" s="54">
        <v>1986</v>
      </c>
      <c r="D129" s="54"/>
      <c r="E129" s="54" t="s">
        <v>28</v>
      </c>
      <c r="F129" s="54">
        <v>9</v>
      </c>
      <c r="G129" s="54">
        <v>3</v>
      </c>
      <c r="H129" s="127">
        <v>6537.3</v>
      </c>
      <c r="I129" s="127">
        <v>5628.4</v>
      </c>
      <c r="J129" s="127">
        <v>5628.4</v>
      </c>
      <c r="K129" s="158">
        <v>261</v>
      </c>
      <c r="L129" s="51">
        <f>'раздел 4'!C132</f>
        <v>914799.86</v>
      </c>
      <c r="M129" s="96">
        <v>0</v>
      </c>
      <c r="N129" s="96">
        <v>548879.92</v>
      </c>
      <c r="O129" s="96">
        <v>182959.97</v>
      </c>
      <c r="P129" s="96">
        <f t="shared" si="36"/>
        <v>182959.96999999994</v>
      </c>
      <c r="Q129" s="95">
        <f t="shared" si="37"/>
        <v>139.93542594037294</v>
      </c>
      <c r="R129" s="96">
        <v>42000</v>
      </c>
      <c r="S129" s="126" t="s">
        <v>401</v>
      </c>
      <c r="T129" s="101" t="s">
        <v>318</v>
      </c>
      <c r="U129" s="86"/>
      <c r="V129" s="105">
        <f t="shared" si="21"/>
        <v>548879.916</v>
      </c>
      <c r="W129" s="105">
        <f t="shared" si="22"/>
        <v>182959.972</v>
      </c>
      <c r="X129" s="105">
        <f>L129-'раздел 4'!C132</f>
        <v>0</v>
      </c>
    </row>
    <row r="130" spans="1:24" s="97" customFormat="1" ht="15" customHeight="1">
      <c r="A130" s="1">
        <f>A129+1</f>
        <v>75</v>
      </c>
      <c r="B130" s="55" t="s">
        <v>392</v>
      </c>
      <c r="C130" s="54">
        <v>1994</v>
      </c>
      <c r="D130" s="54"/>
      <c r="E130" s="54" t="s">
        <v>28</v>
      </c>
      <c r="F130" s="54">
        <v>9</v>
      </c>
      <c r="G130" s="54">
        <v>1</v>
      </c>
      <c r="H130" s="127">
        <v>2426.1</v>
      </c>
      <c r="I130" s="127">
        <v>2147</v>
      </c>
      <c r="J130" s="127">
        <v>2147</v>
      </c>
      <c r="K130" s="158">
        <v>71</v>
      </c>
      <c r="L130" s="51">
        <f>'раздел 4'!C133</f>
        <v>628233.25</v>
      </c>
      <c r="M130" s="96">
        <v>0</v>
      </c>
      <c r="N130" s="96">
        <v>376939.95</v>
      </c>
      <c r="O130" s="96">
        <v>125646.65</v>
      </c>
      <c r="P130" s="96">
        <f t="shared" si="36"/>
        <v>125646.65</v>
      </c>
      <c r="Q130" s="95">
        <f t="shared" si="37"/>
        <v>258.94779687564403</v>
      </c>
      <c r="R130" s="96">
        <v>42000</v>
      </c>
      <c r="S130" s="126" t="s">
        <v>401</v>
      </c>
      <c r="T130" s="101" t="s">
        <v>318</v>
      </c>
      <c r="U130" s="86"/>
      <c r="V130" s="105">
        <f t="shared" si="21"/>
        <v>376939.95</v>
      </c>
      <c r="W130" s="105">
        <f t="shared" si="22"/>
        <v>125646.65000000001</v>
      </c>
      <c r="X130" s="105">
        <f>L130-'раздел 4'!C133</f>
        <v>0</v>
      </c>
    </row>
    <row r="131" spans="1:24" s="97" customFormat="1" ht="15" customHeight="1">
      <c r="A131" s="1">
        <f>A130+1</f>
        <v>76</v>
      </c>
      <c r="B131" s="56" t="s">
        <v>393</v>
      </c>
      <c r="C131" s="54">
        <v>1993</v>
      </c>
      <c r="D131" s="54"/>
      <c r="E131" s="54" t="s">
        <v>28</v>
      </c>
      <c r="F131" s="54">
        <v>9</v>
      </c>
      <c r="G131" s="54">
        <v>2</v>
      </c>
      <c r="H131" s="127">
        <v>5223.7</v>
      </c>
      <c r="I131" s="127">
        <v>4642.3</v>
      </c>
      <c r="J131" s="127">
        <v>4642.3</v>
      </c>
      <c r="K131" s="158">
        <v>159</v>
      </c>
      <c r="L131" s="51">
        <f>'раздел 4'!C134</f>
        <v>827817.81</v>
      </c>
      <c r="M131" s="96">
        <v>0</v>
      </c>
      <c r="N131" s="96">
        <v>496690.69</v>
      </c>
      <c r="O131" s="96">
        <v>165563.56</v>
      </c>
      <c r="P131" s="96">
        <f t="shared" si="36"/>
        <v>165563.56000000006</v>
      </c>
      <c r="Q131" s="95">
        <f t="shared" si="37"/>
        <v>158.47345942531157</v>
      </c>
      <c r="R131" s="96">
        <v>42000</v>
      </c>
      <c r="S131" s="126" t="s">
        <v>401</v>
      </c>
      <c r="T131" s="101" t="s">
        <v>318</v>
      </c>
      <c r="U131" s="86"/>
      <c r="V131" s="105">
        <f t="shared" si="21"/>
        <v>496690.686</v>
      </c>
      <c r="W131" s="105">
        <f t="shared" si="22"/>
        <v>165563.56200000003</v>
      </c>
      <c r="X131" s="105">
        <f>L131-'раздел 4'!C134</f>
        <v>0</v>
      </c>
    </row>
    <row r="132" spans="1:24" s="97" customFormat="1" ht="15" customHeight="1">
      <c r="A132" s="1">
        <f>A131+1</f>
        <v>77</v>
      </c>
      <c r="B132" s="57" t="s">
        <v>394</v>
      </c>
      <c r="C132" s="54">
        <v>1993</v>
      </c>
      <c r="D132" s="54"/>
      <c r="E132" s="54" t="s">
        <v>28</v>
      </c>
      <c r="F132" s="54">
        <v>9</v>
      </c>
      <c r="G132" s="54">
        <v>1</v>
      </c>
      <c r="H132" s="127">
        <v>4245.7</v>
      </c>
      <c r="I132" s="127">
        <v>3734.7</v>
      </c>
      <c r="J132" s="127">
        <v>3734.7</v>
      </c>
      <c r="K132" s="158">
        <v>131</v>
      </c>
      <c r="L132" s="51">
        <f>'раздел 4'!C135</f>
        <v>797030.73</v>
      </c>
      <c r="M132" s="96">
        <v>0</v>
      </c>
      <c r="N132" s="96">
        <v>478218.43</v>
      </c>
      <c r="O132" s="96">
        <v>159406.15</v>
      </c>
      <c r="P132" s="96">
        <f t="shared" si="36"/>
        <v>159406.15</v>
      </c>
      <c r="Q132" s="95">
        <f t="shared" si="37"/>
        <v>187.7265774783899</v>
      </c>
      <c r="R132" s="96">
        <v>42000</v>
      </c>
      <c r="S132" s="126" t="s">
        <v>401</v>
      </c>
      <c r="T132" s="101" t="s">
        <v>318</v>
      </c>
      <c r="U132" s="86"/>
      <c r="V132" s="105">
        <f t="shared" si="21"/>
        <v>478218.43799999997</v>
      </c>
      <c r="W132" s="105">
        <f t="shared" si="22"/>
        <v>159406.146</v>
      </c>
      <c r="X132" s="105">
        <f>L132-'раздел 4'!C135</f>
        <v>0</v>
      </c>
    </row>
    <row r="133" spans="1:24" s="97" customFormat="1" ht="15" customHeight="1">
      <c r="A133" s="1">
        <f>A132+1</f>
        <v>78</v>
      </c>
      <c r="B133" s="57" t="s">
        <v>395</v>
      </c>
      <c r="C133" s="54">
        <v>1990</v>
      </c>
      <c r="D133" s="54"/>
      <c r="E133" s="54" t="s">
        <v>28</v>
      </c>
      <c r="F133" s="54">
        <v>9</v>
      </c>
      <c r="G133" s="54">
        <v>1</v>
      </c>
      <c r="H133" s="127">
        <v>3261.4</v>
      </c>
      <c r="I133" s="127">
        <v>2712.9</v>
      </c>
      <c r="J133" s="127">
        <v>2712.9</v>
      </c>
      <c r="K133" s="158">
        <v>108</v>
      </c>
      <c r="L133" s="51">
        <f>'раздел 4'!C136</f>
        <v>697504.22</v>
      </c>
      <c r="M133" s="96">
        <v>0</v>
      </c>
      <c r="N133" s="96">
        <v>418502.54</v>
      </c>
      <c r="O133" s="96">
        <v>139500.84</v>
      </c>
      <c r="P133" s="96">
        <f t="shared" si="36"/>
        <v>139500.84</v>
      </c>
      <c r="Q133" s="95">
        <f t="shared" si="37"/>
        <v>213.86650518182375</v>
      </c>
      <c r="R133" s="96">
        <v>42000</v>
      </c>
      <c r="S133" s="126" t="s">
        <v>401</v>
      </c>
      <c r="T133" s="101" t="s">
        <v>318</v>
      </c>
      <c r="U133" s="86"/>
      <c r="V133" s="105">
        <f t="shared" si="21"/>
        <v>418502.53199999995</v>
      </c>
      <c r="W133" s="105">
        <f t="shared" si="22"/>
        <v>139500.844</v>
      </c>
      <c r="X133" s="105">
        <f>L133-'раздел 4'!C136</f>
        <v>0</v>
      </c>
    </row>
    <row r="134" spans="1:24" s="97" customFormat="1" ht="15" customHeight="1">
      <c r="A134" s="357" t="s">
        <v>64</v>
      </c>
      <c r="B134" s="357"/>
      <c r="C134" s="32" t="s">
        <v>37</v>
      </c>
      <c r="D134" s="32" t="s">
        <v>37</v>
      </c>
      <c r="E134" s="32" t="s">
        <v>37</v>
      </c>
      <c r="F134" s="32" t="s">
        <v>37</v>
      </c>
      <c r="G134" s="32" t="s">
        <v>37</v>
      </c>
      <c r="H134" s="206">
        <f aca="true" t="shared" si="38" ref="H134:P134">SUM(H128:H133)</f>
        <v>24430.7</v>
      </c>
      <c r="I134" s="206">
        <f t="shared" si="38"/>
        <v>21399.4</v>
      </c>
      <c r="J134" s="206">
        <f t="shared" si="38"/>
        <v>21399.4</v>
      </c>
      <c r="K134" s="99">
        <f t="shared" si="38"/>
        <v>828</v>
      </c>
      <c r="L134" s="96">
        <f>SUM(L128:L133)</f>
        <v>4969118.13</v>
      </c>
      <c r="M134" s="96">
        <f t="shared" si="38"/>
        <v>0</v>
      </c>
      <c r="N134" s="96">
        <f t="shared" si="38"/>
        <v>2981470.89</v>
      </c>
      <c r="O134" s="96">
        <f t="shared" si="38"/>
        <v>993823.6200000001</v>
      </c>
      <c r="P134" s="96">
        <f t="shared" si="38"/>
        <v>993823.62</v>
      </c>
      <c r="Q134" s="95">
        <f t="shared" si="37"/>
        <v>203.39646960586475</v>
      </c>
      <c r="R134" s="96">
        <v>42000</v>
      </c>
      <c r="S134" s="126" t="s">
        <v>401</v>
      </c>
      <c r="T134" s="206"/>
      <c r="U134" s="86"/>
      <c r="V134" s="105">
        <f t="shared" si="21"/>
        <v>2981470.878</v>
      </c>
      <c r="W134" s="105">
        <f t="shared" si="22"/>
        <v>993823.626</v>
      </c>
      <c r="X134" s="105">
        <f>L134-'раздел 4'!C137</f>
        <v>0</v>
      </c>
    </row>
    <row r="135" spans="1:24" s="86" customFormat="1" ht="15" customHeight="1">
      <c r="A135" s="344" t="s">
        <v>78</v>
      </c>
      <c r="B135" s="344"/>
      <c r="C135" s="344"/>
      <c r="D135" s="110" t="s">
        <v>37</v>
      </c>
      <c r="E135" s="110" t="s">
        <v>37</v>
      </c>
      <c r="F135" s="110" t="s">
        <v>37</v>
      </c>
      <c r="G135" s="110" t="s">
        <v>37</v>
      </c>
      <c r="H135" s="195">
        <f aca="true" t="shared" si="39" ref="H135:Q135">H134</f>
        <v>24430.7</v>
      </c>
      <c r="I135" s="195">
        <f t="shared" si="39"/>
        <v>21399.4</v>
      </c>
      <c r="J135" s="195">
        <f t="shared" si="39"/>
        <v>21399.4</v>
      </c>
      <c r="K135" s="159">
        <f t="shared" si="39"/>
        <v>828</v>
      </c>
      <c r="L135" s="73">
        <f t="shared" si="39"/>
        <v>4969118.13</v>
      </c>
      <c r="M135" s="73">
        <f t="shared" si="39"/>
        <v>0</v>
      </c>
      <c r="N135" s="73">
        <f t="shared" si="39"/>
        <v>2981470.89</v>
      </c>
      <c r="O135" s="73">
        <f t="shared" si="39"/>
        <v>993823.6200000001</v>
      </c>
      <c r="P135" s="73">
        <f t="shared" si="39"/>
        <v>993823.62</v>
      </c>
      <c r="Q135" s="73">
        <f t="shared" si="39"/>
        <v>203.39646960586475</v>
      </c>
      <c r="R135" s="73"/>
      <c r="S135" s="195"/>
      <c r="T135" s="195"/>
      <c r="U135" s="105">
        <f>L135-N135-O135-P135</f>
        <v>0</v>
      </c>
      <c r="V135" s="105">
        <f aca="true" t="shared" si="40" ref="V135:V204">L135*0.6</f>
        <v>2981470.878</v>
      </c>
      <c r="W135" s="105">
        <f aca="true" t="shared" si="41" ref="W135:W204">L135*0.2</f>
        <v>993823.626</v>
      </c>
      <c r="X135" s="105">
        <f>L135-'раздел 4'!C138</f>
        <v>0</v>
      </c>
    </row>
    <row r="136" spans="1:24" s="97" customFormat="1" ht="15" customHeight="1">
      <c r="A136" s="354" t="s">
        <v>222</v>
      </c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6"/>
      <c r="T136" s="119"/>
      <c r="U136" s="203"/>
      <c r="V136" s="105">
        <f t="shared" si="40"/>
        <v>0</v>
      </c>
      <c r="W136" s="105">
        <f t="shared" si="41"/>
        <v>0</v>
      </c>
      <c r="X136" s="105">
        <f>L136-'раздел 4'!C139</f>
        <v>0</v>
      </c>
    </row>
    <row r="137" spans="1:25" s="97" customFormat="1" ht="15" customHeight="1">
      <c r="A137" s="341" t="s">
        <v>272</v>
      </c>
      <c r="B137" s="342"/>
      <c r="C137" s="345"/>
      <c r="D137" s="48"/>
      <c r="E137" s="48"/>
      <c r="F137" s="48"/>
      <c r="G137" s="48"/>
      <c r="H137" s="118"/>
      <c r="I137" s="118"/>
      <c r="J137" s="118"/>
      <c r="K137" s="168"/>
      <c r="L137" s="281"/>
      <c r="M137" s="281"/>
      <c r="N137" s="281"/>
      <c r="O137" s="281"/>
      <c r="P137" s="281"/>
      <c r="Q137" s="117"/>
      <c r="R137" s="281"/>
      <c r="S137" s="118"/>
      <c r="T137" s="119"/>
      <c r="U137" s="203"/>
      <c r="V137" s="105">
        <f t="shared" si="40"/>
        <v>0</v>
      </c>
      <c r="W137" s="105">
        <f t="shared" si="41"/>
        <v>0</v>
      </c>
      <c r="X137" s="105">
        <f>L137-'раздел 4'!C140</f>
        <v>0</v>
      </c>
      <c r="Y137" s="78" t="s">
        <v>299</v>
      </c>
    </row>
    <row r="138" spans="1:24" s="97" customFormat="1" ht="15" customHeight="1">
      <c r="A138" s="1">
        <f>A133+1</f>
        <v>79</v>
      </c>
      <c r="B138" s="100" t="s">
        <v>226</v>
      </c>
      <c r="C138" s="104">
        <v>1960</v>
      </c>
      <c r="D138" s="207" t="s">
        <v>32</v>
      </c>
      <c r="E138" s="206" t="s">
        <v>29</v>
      </c>
      <c r="F138" s="104">
        <v>2</v>
      </c>
      <c r="G138" s="104">
        <v>2</v>
      </c>
      <c r="H138" s="104">
        <v>679.8</v>
      </c>
      <c r="I138" s="104">
        <v>632</v>
      </c>
      <c r="J138" s="104">
        <v>0</v>
      </c>
      <c r="K138" s="164">
        <v>26</v>
      </c>
      <c r="L138" s="96">
        <f>'раздел 4'!C141</f>
        <v>99554.87</v>
      </c>
      <c r="M138" s="96"/>
      <c r="N138" s="96">
        <v>59732.93</v>
      </c>
      <c r="O138" s="96">
        <v>19910.97</v>
      </c>
      <c r="P138" s="96">
        <f aca="true" t="shared" si="42" ref="P138:P143">L138-N138-O138</f>
        <v>19910.969999999994</v>
      </c>
      <c r="Q138" s="95">
        <f aca="true" t="shared" si="43" ref="Q138:Q148">L138/H138</f>
        <v>146.44729332156516</v>
      </c>
      <c r="R138" s="96">
        <v>42000</v>
      </c>
      <c r="S138" s="126" t="s">
        <v>401</v>
      </c>
      <c r="T138" s="101" t="s">
        <v>318</v>
      </c>
      <c r="U138" s="86"/>
      <c r="V138" s="105">
        <f t="shared" si="40"/>
        <v>59732.92199999999</v>
      </c>
      <c r="W138" s="105">
        <f t="shared" si="41"/>
        <v>19910.974000000002</v>
      </c>
      <c r="X138" s="105">
        <f>L138-'раздел 4'!C141</f>
        <v>0</v>
      </c>
    </row>
    <row r="139" spans="1:24" s="97" customFormat="1" ht="15" customHeight="1">
      <c r="A139" s="1">
        <f>A138+1</f>
        <v>80</v>
      </c>
      <c r="B139" s="100" t="s">
        <v>227</v>
      </c>
      <c r="C139" s="104">
        <v>1961</v>
      </c>
      <c r="D139" s="207" t="s">
        <v>32</v>
      </c>
      <c r="E139" s="206" t="s">
        <v>29</v>
      </c>
      <c r="F139" s="104">
        <v>2</v>
      </c>
      <c r="G139" s="104">
        <v>2</v>
      </c>
      <c r="H139" s="104">
        <v>679.8</v>
      </c>
      <c r="I139" s="104">
        <v>632</v>
      </c>
      <c r="J139" s="104">
        <v>0</v>
      </c>
      <c r="K139" s="164">
        <v>26</v>
      </c>
      <c r="L139" s="96">
        <f>'раздел 4'!C142</f>
        <v>109363</v>
      </c>
      <c r="M139" s="96"/>
      <c r="N139" s="96">
        <v>65617.8</v>
      </c>
      <c r="O139" s="96">
        <v>21872.6</v>
      </c>
      <c r="P139" s="96">
        <f t="shared" si="42"/>
        <v>21872.6</v>
      </c>
      <c r="Q139" s="95">
        <f t="shared" si="43"/>
        <v>160.8752574286555</v>
      </c>
      <c r="R139" s="96">
        <v>42000</v>
      </c>
      <c r="S139" s="126" t="s">
        <v>401</v>
      </c>
      <c r="T139" s="101" t="s">
        <v>318</v>
      </c>
      <c r="U139" s="86"/>
      <c r="V139" s="105">
        <f t="shared" si="40"/>
        <v>65617.8</v>
      </c>
      <c r="W139" s="105">
        <f t="shared" si="41"/>
        <v>21872.600000000002</v>
      </c>
      <c r="X139" s="105">
        <f>L139-'раздел 4'!C142</f>
        <v>0</v>
      </c>
    </row>
    <row r="140" spans="1:24" s="97" customFormat="1" ht="15" customHeight="1">
      <c r="A140" s="1">
        <f>A139+1</f>
        <v>81</v>
      </c>
      <c r="B140" s="100" t="s">
        <v>228</v>
      </c>
      <c r="C140" s="104">
        <v>1962</v>
      </c>
      <c r="D140" s="207" t="s">
        <v>32</v>
      </c>
      <c r="E140" s="206" t="s">
        <v>29</v>
      </c>
      <c r="F140" s="104">
        <v>2</v>
      </c>
      <c r="G140" s="104">
        <v>2</v>
      </c>
      <c r="H140" s="104">
        <v>679.8</v>
      </c>
      <c r="I140" s="104">
        <v>632</v>
      </c>
      <c r="J140" s="104">
        <v>0</v>
      </c>
      <c r="K140" s="164">
        <v>26</v>
      </c>
      <c r="L140" s="96">
        <f>'раздел 4'!C143</f>
        <v>108006.9</v>
      </c>
      <c r="M140" s="96"/>
      <c r="N140" s="96">
        <v>64804.14</v>
      </c>
      <c r="O140" s="96">
        <v>21601.38</v>
      </c>
      <c r="P140" s="96">
        <f t="shared" si="42"/>
        <v>21601.379999999994</v>
      </c>
      <c r="Q140" s="95">
        <f t="shared" si="43"/>
        <v>158.88040600176524</v>
      </c>
      <c r="R140" s="96">
        <v>42000</v>
      </c>
      <c r="S140" s="126" t="s">
        <v>401</v>
      </c>
      <c r="T140" s="101" t="s">
        <v>318</v>
      </c>
      <c r="U140" s="86"/>
      <c r="V140" s="105">
        <f t="shared" si="40"/>
        <v>64804.13999999999</v>
      </c>
      <c r="W140" s="105">
        <f t="shared" si="41"/>
        <v>21601.38</v>
      </c>
      <c r="X140" s="105">
        <f>L140-'раздел 4'!C143</f>
        <v>0</v>
      </c>
    </row>
    <row r="141" spans="1:24" s="97" customFormat="1" ht="15" customHeight="1">
      <c r="A141" s="1">
        <f>A140+1</f>
        <v>82</v>
      </c>
      <c r="B141" s="100" t="s">
        <v>229</v>
      </c>
      <c r="C141" s="104">
        <v>1963</v>
      </c>
      <c r="D141" s="207" t="s">
        <v>32</v>
      </c>
      <c r="E141" s="206" t="s">
        <v>29</v>
      </c>
      <c r="F141" s="104">
        <v>2</v>
      </c>
      <c r="G141" s="104">
        <v>2</v>
      </c>
      <c r="H141" s="104">
        <v>679.8</v>
      </c>
      <c r="I141" s="104">
        <v>632</v>
      </c>
      <c r="J141" s="104">
        <v>0</v>
      </c>
      <c r="K141" s="164">
        <v>26</v>
      </c>
      <c r="L141" s="96">
        <f>'раздел 4'!C144</f>
        <v>100406.37</v>
      </c>
      <c r="M141" s="96"/>
      <c r="N141" s="96">
        <v>60243.83</v>
      </c>
      <c r="O141" s="96">
        <v>20081.27</v>
      </c>
      <c r="P141" s="96">
        <f t="shared" si="42"/>
        <v>20081.269999999993</v>
      </c>
      <c r="Q141" s="95">
        <f t="shared" si="43"/>
        <v>147.69986760812003</v>
      </c>
      <c r="R141" s="96">
        <v>42000</v>
      </c>
      <c r="S141" s="126" t="s">
        <v>401</v>
      </c>
      <c r="T141" s="101" t="s">
        <v>318</v>
      </c>
      <c r="U141" s="86"/>
      <c r="V141" s="105">
        <f t="shared" si="40"/>
        <v>60243.82199999999</v>
      </c>
      <c r="W141" s="105">
        <f t="shared" si="41"/>
        <v>20081.274</v>
      </c>
      <c r="X141" s="105">
        <f>L141-'раздел 4'!C144</f>
        <v>0</v>
      </c>
    </row>
    <row r="142" spans="1:24" s="97" customFormat="1" ht="15" customHeight="1">
      <c r="A142" s="1">
        <f>A141+1</f>
        <v>83</v>
      </c>
      <c r="B142" s="100" t="s">
        <v>230</v>
      </c>
      <c r="C142" s="104">
        <v>1964</v>
      </c>
      <c r="D142" s="207" t="s">
        <v>32</v>
      </c>
      <c r="E142" s="206" t="s">
        <v>29</v>
      </c>
      <c r="F142" s="104">
        <v>2</v>
      </c>
      <c r="G142" s="104">
        <v>2</v>
      </c>
      <c r="H142" s="104">
        <v>679.8</v>
      </c>
      <c r="I142" s="104">
        <v>632</v>
      </c>
      <c r="J142" s="104">
        <v>0</v>
      </c>
      <c r="K142" s="164">
        <v>26</v>
      </c>
      <c r="L142" s="96">
        <f>'раздел 4'!C145</f>
        <v>101510.17</v>
      </c>
      <c r="M142" s="96"/>
      <c r="N142" s="96">
        <v>60906.11</v>
      </c>
      <c r="O142" s="96">
        <v>20302.03</v>
      </c>
      <c r="P142" s="96">
        <f t="shared" si="42"/>
        <v>20302.03</v>
      </c>
      <c r="Q142" s="95">
        <f t="shared" si="43"/>
        <v>149.32358046484262</v>
      </c>
      <c r="R142" s="96">
        <v>42000</v>
      </c>
      <c r="S142" s="126" t="s">
        <v>401</v>
      </c>
      <c r="T142" s="101" t="s">
        <v>318</v>
      </c>
      <c r="U142" s="86"/>
      <c r="V142" s="105">
        <f t="shared" si="40"/>
        <v>60906.102</v>
      </c>
      <c r="W142" s="105">
        <f t="shared" si="41"/>
        <v>20302.034</v>
      </c>
      <c r="X142" s="105">
        <f>L142-'раздел 4'!C145</f>
        <v>0</v>
      </c>
    </row>
    <row r="143" spans="1:24" s="97" customFormat="1" ht="15" customHeight="1">
      <c r="A143" s="1">
        <f>A142+1</f>
        <v>84</v>
      </c>
      <c r="B143" s="100" t="s">
        <v>231</v>
      </c>
      <c r="C143" s="104">
        <v>1965</v>
      </c>
      <c r="D143" s="207" t="s">
        <v>32</v>
      </c>
      <c r="E143" s="206" t="s">
        <v>29</v>
      </c>
      <c r="F143" s="104">
        <v>2</v>
      </c>
      <c r="G143" s="104">
        <v>2</v>
      </c>
      <c r="H143" s="104">
        <v>679.8</v>
      </c>
      <c r="I143" s="104">
        <v>632</v>
      </c>
      <c r="J143" s="104">
        <v>0</v>
      </c>
      <c r="K143" s="164">
        <v>26</v>
      </c>
      <c r="L143" s="96">
        <f>'раздел 4'!C146</f>
        <v>97820.31</v>
      </c>
      <c r="M143" s="96"/>
      <c r="N143" s="96">
        <v>58692.19</v>
      </c>
      <c r="O143" s="96">
        <v>19564.06</v>
      </c>
      <c r="P143" s="96">
        <f t="shared" si="42"/>
        <v>19564.059999999994</v>
      </c>
      <c r="Q143" s="95">
        <f t="shared" si="43"/>
        <v>143.89571932921447</v>
      </c>
      <c r="R143" s="96">
        <v>42000</v>
      </c>
      <c r="S143" s="126" t="s">
        <v>401</v>
      </c>
      <c r="T143" s="101" t="s">
        <v>318</v>
      </c>
      <c r="U143" s="86"/>
      <c r="V143" s="105">
        <f t="shared" si="40"/>
        <v>58692.185999999994</v>
      </c>
      <c r="W143" s="105">
        <f t="shared" si="41"/>
        <v>19564.062</v>
      </c>
      <c r="X143" s="105">
        <f>L143-'раздел 4'!C146</f>
        <v>0</v>
      </c>
    </row>
    <row r="144" spans="1:24" s="97" customFormat="1" ht="15" customHeight="1">
      <c r="A144" s="357" t="s">
        <v>64</v>
      </c>
      <c r="B144" s="357"/>
      <c r="C144" s="32" t="s">
        <v>37</v>
      </c>
      <c r="D144" s="32" t="s">
        <v>37</v>
      </c>
      <c r="E144" s="32" t="s">
        <v>37</v>
      </c>
      <c r="F144" s="32" t="s">
        <v>37</v>
      </c>
      <c r="G144" s="32" t="s">
        <v>37</v>
      </c>
      <c r="H144" s="95">
        <f aca="true" t="shared" si="44" ref="H144:P144">SUM(H138:H143)</f>
        <v>4078.8</v>
      </c>
      <c r="I144" s="95">
        <f t="shared" si="44"/>
        <v>3792</v>
      </c>
      <c r="J144" s="95">
        <f t="shared" si="44"/>
        <v>0</v>
      </c>
      <c r="K144" s="99">
        <f t="shared" si="44"/>
        <v>156</v>
      </c>
      <c r="L144" s="96">
        <f t="shared" si="44"/>
        <v>616661.62</v>
      </c>
      <c r="M144" s="96">
        <f t="shared" si="44"/>
        <v>0</v>
      </c>
      <c r="N144" s="96">
        <f t="shared" si="44"/>
        <v>369997</v>
      </c>
      <c r="O144" s="96">
        <f t="shared" si="44"/>
        <v>123332.31</v>
      </c>
      <c r="P144" s="96">
        <f t="shared" si="44"/>
        <v>123332.30999999997</v>
      </c>
      <c r="Q144" s="95">
        <f t="shared" si="43"/>
        <v>151.18702069236048</v>
      </c>
      <c r="R144" s="96"/>
      <c r="S144" s="126"/>
      <c r="T144" s="119"/>
      <c r="U144" s="105">
        <f>L144-N144-O144-P144</f>
        <v>0</v>
      </c>
      <c r="V144" s="105">
        <f t="shared" si="40"/>
        <v>369996.972</v>
      </c>
      <c r="W144" s="105">
        <f t="shared" si="41"/>
        <v>123332.32400000001</v>
      </c>
      <c r="X144" s="105">
        <f>L144-'раздел 4'!C147</f>
        <v>0</v>
      </c>
    </row>
    <row r="145" spans="1:24" s="97" customFormat="1" ht="15" customHeight="1">
      <c r="A145" s="341" t="s">
        <v>273</v>
      </c>
      <c r="B145" s="342"/>
      <c r="C145" s="345"/>
      <c r="D145" s="48"/>
      <c r="E145" s="48"/>
      <c r="F145" s="48"/>
      <c r="G145" s="48"/>
      <c r="H145" s="118"/>
      <c r="I145" s="118"/>
      <c r="J145" s="118"/>
      <c r="K145" s="168"/>
      <c r="L145" s="281"/>
      <c r="M145" s="281"/>
      <c r="N145" s="281"/>
      <c r="O145" s="281"/>
      <c r="P145" s="281"/>
      <c r="Q145" s="117"/>
      <c r="R145" s="281"/>
      <c r="S145" s="118"/>
      <c r="T145" s="119"/>
      <c r="U145" s="203"/>
      <c r="V145" s="105">
        <f t="shared" si="40"/>
        <v>0</v>
      </c>
      <c r="W145" s="105">
        <f t="shared" si="41"/>
        <v>0</v>
      </c>
      <c r="X145" s="105">
        <f>L145-'раздел 4'!C148</f>
        <v>0</v>
      </c>
    </row>
    <row r="146" spans="1:25" s="97" customFormat="1" ht="15" customHeight="1">
      <c r="A146" s="1">
        <f>A143+1</f>
        <v>85</v>
      </c>
      <c r="B146" s="58" t="s">
        <v>223</v>
      </c>
      <c r="C146" s="206">
        <v>1988</v>
      </c>
      <c r="D146" s="206">
        <v>1988</v>
      </c>
      <c r="E146" s="206" t="s">
        <v>28</v>
      </c>
      <c r="F146" s="206">
        <v>5</v>
      </c>
      <c r="G146" s="206">
        <v>8</v>
      </c>
      <c r="H146" s="206">
        <v>6050</v>
      </c>
      <c r="I146" s="1">
        <v>3449</v>
      </c>
      <c r="J146" s="206">
        <v>2620</v>
      </c>
      <c r="K146" s="99">
        <v>275</v>
      </c>
      <c r="L146" s="96">
        <f>'раздел 4'!C149</f>
        <v>922949.93</v>
      </c>
      <c r="M146" s="96">
        <v>0</v>
      </c>
      <c r="N146" s="96">
        <v>553769.95</v>
      </c>
      <c r="O146" s="96">
        <v>184589.99</v>
      </c>
      <c r="P146" s="96">
        <f>L146-N146-O146</f>
        <v>184589.9900000001</v>
      </c>
      <c r="Q146" s="95">
        <f t="shared" si="43"/>
        <v>152.55370743801654</v>
      </c>
      <c r="R146" s="96">
        <v>42000</v>
      </c>
      <c r="S146" s="126" t="s">
        <v>401</v>
      </c>
      <c r="T146" s="101" t="s">
        <v>318</v>
      </c>
      <c r="U146" s="203"/>
      <c r="V146" s="105">
        <f t="shared" si="40"/>
        <v>553769.958</v>
      </c>
      <c r="W146" s="105">
        <f t="shared" si="41"/>
        <v>184589.98600000003</v>
      </c>
      <c r="X146" s="105">
        <f>L146-'раздел 4'!C149</f>
        <v>0</v>
      </c>
      <c r="Y146" s="97" t="s">
        <v>225</v>
      </c>
    </row>
    <row r="147" spans="1:24" s="97" customFormat="1" ht="15" customHeight="1">
      <c r="A147" s="357" t="s">
        <v>64</v>
      </c>
      <c r="B147" s="357"/>
      <c r="C147" s="32" t="s">
        <v>37</v>
      </c>
      <c r="D147" s="32" t="s">
        <v>37</v>
      </c>
      <c r="E147" s="32" t="s">
        <v>37</v>
      </c>
      <c r="F147" s="32" t="s">
        <v>37</v>
      </c>
      <c r="G147" s="32" t="s">
        <v>37</v>
      </c>
      <c r="H147" s="95">
        <f aca="true" t="shared" si="45" ref="H147:P147">H146</f>
        <v>6050</v>
      </c>
      <c r="I147" s="95">
        <f t="shared" si="45"/>
        <v>3449</v>
      </c>
      <c r="J147" s="95">
        <f t="shared" si="45"/>
        <v>2620</v>
      </c>
      <c r="K147" s="99">
        <f t="shared" si="45"/>
        <v>275</v>
      </c>
      <c r="L147" s="96">
        <f t="shared" si="45"/>
        <v>922949.93</v>
      </c>
      <c r="M147" s="96">
        <f t="shared" si="45"/>
        <v>0</v>
      </c>
      <c r="N147" s="96">
        <f t="shared" si="45"/>
        <v>553769.95</v>
      </c>
      <c r="O147" s="96">
        <f t="shared" si="45"/>
        <v>184589.99</v>
      </c>
      <c r="P147" s="96">
        <f t="shared" si="45"/>
        <v>184589.9900000001</v>
      </c>
      <c r="Q147" s="95">
        <f t="shared" si="43"/>
        <v>152.55370743801654</v>
      </c>
      <c r="R147" s="96">
        <v>42000</v>
      </c>
      <c r="S147" s="126" t="s">
        <v>401</v>
      </c>
      <c r="T147" s="119"/>
      <c r="U147" s="203"/>
      <c r="V147" s="105">
        <f t="shared" si="40"/>
        <v>553769.958</v>
      </c>
      <c r="W147" s="105">
        <f t="shared" si="41"/>
        <v>184589.98600000003</v>
      </c>
      <c r="X147" s="105">
        <f>L147-'раздел 4'!C150</f>
        <v>0</v>
      </c>
    </row>
    <row r="148" spans="1:24" s="86" customFormat="1" ht="15" customHeight="1">
      <c r="A148" s="344" t="s">
        <v>224</v>
      </c>
      <c r="B148" s="344"/>
      <c r="C148" s="344"/>
      <c r="D148" s="110" t="s">
        <v>37</v>
      </c>
      <c r="E148" s="110" t="s">
        <v>37</v>
      </c>
      <c r="F148" s="110" t="s">
        <v>37</v>
      </c>
      <c r="G148" s="110" t="s">
        <v>37</v>
      </c>
      <c r="H148" s="29">
        <f aca="true" t="shared" si="46" ref="H148:P148">H147+H144</f>
        <v>10128.8</v>
      </c>
      <c r="I148" s="29">
        <f t="shared" si="46"/>
        <v>7241</v>
      </c>
      <c r="J148" s="29">
        <f t="shared" si="46"/>
        <v>2620</v>
      </c>
      <c r="K148" s="159">
        <f t="shared" si="46"/>
        <v>431</v>
      </c>
      <c r="L148" s="73">
        <f>L147+L144</f>
        <v>1539611.55</v>
      </c>
      <c r="M148" s="73">
        <f t="shared" si="46"/>
        <v>0</v>
      </c>
      <c r="N148" s="73">
        <f t="shared" si="46"/>
        <v>923766.95</v>
      </c>
      <c r="O148" s="73">
        <f t="shared" si="46"/>
        <v>307922.3</v>
      </c>
      <c r="P148" s="73">
        <f t="shared" si="46"/>
        <v>307922.30000000005</v>
      </c>
      <c r="Q148" s="95">
        <f t="shared" si="43"/>
        <v>152.00335182844958</v>
      </c>
      <c r="R148" s="73"/>
      <c r="S148" s="195"/>
      <c r="T148" s="201"/>
      <c r="U148" s="105">
        <f>L148-N148-O148-P148</f>
        <v>0</v>
      </c>
      <c r="V148" s="105">
        <f t="shared" si="40"/>
        <v>923766.93</v>
      </c>
      <c r="W148" s="105">
        <f t="shared" si="41"/>
        <v>307922.31</v>
      </c>
      <c r="X148" s="105">
        <f>L148-'раздел 4'!C151</f>
        <v>0</v>
      </c>
    </row>
    <row r="149" spans="1:24" s="97" customFormat="1" ht="13.5">
      <c r="A149" s="354" t="s">
        <v>389</v>
      </c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6"/>
      <c r="T149" s="206"/>
      <c r="U149" s="86"/>
      <c r="V149" s="105">
        <f t="shared" si="40"/>
        <v>0</v>
      </c>
      <c r="W149" s="105">
        <f t="shared" si="41"/>
        <v>0</v>
      </c>
      <c r="X149" s="105">
        <f>L149-'раздел 4'!C152</f>
        <v>0</v>
      </c>
    </row>
    <row r="150" spans="1:25" s="97" customFormat="1" ht="15" customHeight="1">
      <c r="A150" s="350" t="s">
        <v>80</v>
      </c>
      <c r="B150" s="350"/>
      <c r="C150" s="350"/>
      <c r="D150" s="206"/>
      <c r="E150" s="206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195"/>
      <c r="V150" s="105">
        <f t="shared" si="40"/>
        <v>0</v>
      </c>
      <c r="W150" s="105">
        <f t="shared" si="41"/>
        <v>0</v>
      </c>
      <c r="X150" s="105">
        <f>L150-'раздел 4'!C153</f>
        <v>0</v>
      </c>
      <c r="Y150" s="97" t="s">
        <v>233</v>
      </c>
    </row>
    <row r="151" spans="1:24" s="97" customFormat="1" ht="13.5">
      <c r="A151" s="87">
        <f>A146+1</f>
        <v>86</v>
      </c>
      <c r="B151" s="43" t="s">
        <v>101</v>
      </c>
      <c r="C151" s="207">
        <v>1996</v>
      </c>
      <c r="D151" s="206"/>
      <c r="E151" s="206" t="s">
        <v>29</v>
      </c>
      <c r="F151" s="206">
        <v>2</v>
      </c>
      <c r="G151" s="206">
        <v>2</v>
      </c>
      <c r="H151" s="206">
        <v>330.3</v>
      </c>
      <c r="I151" s="206">
        <v>330.3</v>
      </c>
      <c r="J151" s="206">
        <v>184.8</v>
      </c>
      <c r="K151" s="99">
        <v>16</v>
      </c>
      <c r="L151" s="96">
        <f>'раздел 4'!C154</f>
        <v>996373.06</v>
      </c>
      <c r="M151" s="96"/>
      <c r="N151" s="96">
        <v>597823.84</v>
      </c>
      <c r="O151" s="96">
        <v>199274.61</v>
      </c>
      <c r="P151" s="96">
        <f>L151-N151-O151</f>
        <v>199274.6100000001</v>
      </c>
      <c r="Q151" s="95">
        <f>L151/H151</f>
        <v>3016.569966696942</v>
      </c>
      <c r="R151" s="96">
        <v>42000</v>
      </c>
      <c r="S151" s="126" t="s">
        <v>401</v>
      </c>
      <c r="T151" s="101" t="s">
        <v>318</v>
      </c>
      <c r="U151" s="86"/>
      <c r="V151" s="105">
        <f t="shared" si="40"/>
        <v>597823.836</v>
      </c>
      <c r="W151" s="105">
        <f t="shared" si="41"/>
        <v>199274.61200000002</v>
      </c>
      <c r="X151" s="105">
        <f>L151-'раздел 4'!C154</f>
        <v>0</v>
      </c>
    </row>
    <row r="152" spans="1:24" s="97" customFormat="1" ht="13.5">
      <c r="A152" s="87">
        <f>A151+1</f>
        <v>87</v>
      </c>
      <c r="B152" s="43" t="s">
        <v>102</v>
      </c>
      <c r="C152" s="207">
        <v>1999</v>
      </c>
      <c r="D152" s="206"/>
      <c r="E152" s="206" t="s">
        <v>29</v>
      </c>
      <c r="F152" s="206">
        <v>2</v>
      </c>
      <c r="G152" s="206">
        <v>2</v>
      </c>
      <c r="H152" s="206">
        <v>330.3</v>
      </c>
      <c r="I152" s="206">
        <v>330.3</v>
      </c>
      <c r="J152" s="206">
        <v>104.6</v>
      </c>
      <c r="K152" s="99">
        <v>11</v>
      </c>
      <c r="L152" s="96">
        <f>'раздел 4'!C155</f>
        <v>996373.06</v>
      </c>
      <c r="M152" s="96"/>
      <c r="N152" s="96">
        <v>597823.84</v>
      </c>
      <c r="O152" s="96">
        <v>199274.61</v>
      </c>
      <c r="P152" s="96">
        <f>L152-N152-O152</f>
        <v>199274.6100000001</v>
      </c>
      <c r="Q152" s="95">
        <f>L152/H152</f>
        <v>3016.569966696942</v>
      </c>
      <c r="R152" s="96">
        <v>42000</v>
      </c>
      <c r="S152" s="126" t="s">
        <v>401</v>
      </c>
      <c r="T152" s="101" t="s">
        <v>318</v>
      </c>
      <c r="U152" s="86"/>
      <c r="V152" s="105">
        <f t="shared" si="40"/>
        <v>597823.836</v>
      </c>
      <c r="W152" s="105">
        <f t="shared" si="41"/>
        <v>199274.61200000002</v>
      </c>
      <c r="X152" s="105">
        <f>L152-'раздел 4'!C155</f>
        <v>0</v>
      </c>
    </row>
    <row r="153" spans="1:24" s="97" customFormat="1" ht="13.5">
      <c r="A153" s="87">
        <f>A152+1</f>
        <v>88</v>
      </c>
      <c r="B153" s="43" t="s">
        <v>103</v>
      </c>
      <c r="C153" s="207">
        <v>1996</v>
      </c>
      <c r="D153" s="206"/>
      <c r="E153" s="206" t="s">
        <v>29</v>
      </c>
      <c r="F153" s="206">
        <v>2</v>
      </c>
      <c r="G153" s="206">
        <v>2</v>
      </c>
      <c r="H153" s="206">
        <v>319.5</v>
      </c>
      <c r="I153" s="206">
        <v>319.5</v>
      </c>
      <c r="J153" s="206">
        <v>261.8</v>
      </c>
      <c r="K153" s="99">
        <v>13</v>
      </c>
      <c r="L153" s="96">
        <f>'раздел 4'!C156</f>
        <v>996373.06</v>
      </c>
      <c r="M153" s="96"/>
      <c r="N153" s="96">
        <v>597823.84</v>
      </c>
      <c r="O153" s="96">
        <v>199274.61</v>
      </c>
      <c r="P153" s="96">
        <f>L153-N153-O153</f>
        <v>199274.6100000001</v>
      </c>
      <c r="Q153" s="95">
        <f>L153/H153</f>
        <v>3118.538528951487</v>
      </c>
      <c r="R153" s="96">
        <v>42000</v>
      </c>
      <c r="S153" s="126" t="s">
        <v>401</v>
      </c>
      <c r="T153" s="101" t="s">
        <v>318</v>
      </c>
      <c r="U153" s="86"/>
      <c r="V153" s="105">
        <f t="shared" si="40"/>
        <v>597823.836</v>
      </c>
      <c r="W153" s="105">
        <f t="shared" si="41"/>
        <v>199274.61200000002</v>
      </c>
      <c r="X153" s="105">
        <f>L153-'раздел 4'!C156</f>
        <v>0</v>
      </c>
    </row>
    <row r="154" spans="1:24" s="97" customFormat="1" ht="13.5">
      <c r="A154" s="87">
        <f>A153+1</f>
        <v>89</v>
      </c>
      <c r="B154" s="43" t="s">
        <v>104</v>
      </c>
      <c r="C154" s="207">
        <v>1965</v>
      </c>
      <c r="D154" s="206"/>
      <c r="E154" s="206" t="s">
        <v>29</v>
      </c>
      <c r="F154" s="206">
        <v>4</v>
      </c>
      <c r="G154" s="206">
        <v>3</v>
      </c>
      <c r="H154" s="206">
        <v>1994.26</v>
      </c>
      <c r="I154" s="206">
        <v>1994.26</v>
      </c>
      <c r="J154" s="206">
        <v>1824.7</v>
      </c>
      <c r="K154" s="99">
        <v>82</v>
      </c>
      <c r="L154" s="96">
        <f>'раздел 4'!C157</f>
        <v>1517736.64</v>
      </c>
      <c r="M154" s="96"/>
      <c r="N154" s="96">
        <v>910641.98</v>
      </c>
      <c r="O154" s="96">
        <v>303547.33</v>
      </c>
      <c r="P154" s="96">
        <f>L154-N154-O154</f>
        <v>303547.3299999999</v>
      </c>
      <c r="Q154" s="95">
        <f>L154/H154</f>
        <v>761.0525407920732</v>
      </c>
      <c r="R154" s="96">
        <v>42000</v>
      </c>
      <c r="S154" s="126" t="s">
        <v>401</v>
      </c>
      <c r="T154" s="101" t="s">
        <v>318</v>
      </c>
      <c r="U154" s="86"/>
      <c r="V154" s="105">
        <f t="shared" si="40"/>
        <v>910641.9839999999</v>
      </c>
      <c r="W154" s="105">
        <f t="shared" si="41"/>
        <v>303547.328</v>
      </c>
      <c r="X154" s="105">
        <f>L154-'раздел 4'!C157</f>
        <v>0</v>
      </c>
    </row>
    <row r="155" spans="1:24" s="97" customFormat="1" ht="13.5">
      <c r="A155" s="357" t="s">
        <v>64</v>
      </c>
      <c r="B155" s="357"/>
      <c r="C155" s="32" t="s">
        <v>37</v>
      </c>
      <c r="D155" s="32" t="s">
        <v>37</v>
      </c>
      <c r="E155" s="32" t="s">
        <v>37</v>
      </c>
      <c r="F155" s="32" t="s">
        <v>37</v>
      </c>
      <c r="G155" s="32" t="s">
        <v>37</v>
      </c>
      <c r="H155" s="95">
        <f aca="true" t="shared" si="47" ref="H155:P155">SUM(H151:H154)</f>
        <v>2974.36</v>
      </c>
      <c r="I155" s="95">
        <f t="shared" si="47"/>
        <v>2974.36</v>
      </c>
      <c r="J155" s="95">
        <f t="shared" si="47"/>
        <v>2375.9</v>
      </c>
      <c r="K155" s="99">
        <f t="shared" si="47"/>
        <v>122</v>
      </c>
      <c r="L155" s="73">
        <f t="shared" si="47"/>
        <v>4506855.82</v>
      </c>
      <c r="M155" s="96">
        <f t="shared" si="47"/>
        <v>0</v>
      </c>
      <c r="N155" s="96">
        <f t="shared" si="47"/>
        <v>2704113.5</v>
      </c>
      <c r="O155" s="96">
        <f t="shared" si="47"/>
        <v>901371.1599999999</v>
      </c>
      <c r="P155" s="96">
        <f t="shared" si="47"/>
        <v>901371.1600000001</v>
      </c>
      <c r="Q155" s="95">
        <f>L155/H155</f>
        <v>1515.2354859532807</v>
      </c>
      <c r="R155" s="96"/>
      <c r="S155" s="126"/>
      <c r="T155" s="206"/>
      <c r="U155" s="105">
        <f>L155-N155-O155-P155</f>
        <v>0</v>
      </c>
      <c r="V155" s="105">
        <f t="shared" si="40"/>
        <v>2704113.492</v>
      </c>
      <c r="W155" s="105">
        <f t="shared" si="41"/>
        <v>901371.1640000001</v>
      </c>
      <c r="X155" s="105">
        <f>L155-'раздел 4'!C158</f>
        <v>0</v>
      </c>
    </row>
    <row r="156" spans="1:25" s="97" customFormat="1" ht="15" customHeight="1">
      <c r="A156" s="307" t="s">
        <v>92</v>
      </c>
      <c r="B156" s="307"/>
      <c r="C156" s="307"/>
      <c r="D156" s="206"/>
      <c r="E156" s="206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195"/>
      <c r="V156" s="105">
        <f t="shared" si="40"/>
        <v>0</v>
      </c>
      <c r="W156" s="105">
        <f t="shared" si="41"/>
        <v>0</v>
      </c>
      <c r="X156" s="105">
        <f>L156-'раздел 4'!C159</f>
        <v>0</v>
      </c>
      <c r="Y156" s="78" t="s">
        <v>300</v>
      </c>
    </row>
    <row r="157" spans="1:24" s="97" customFormat="1" ht="13.5">
      <c r="A157" s="87">
        <f>A154+1</f>
        <v>90</v>
      </c>
      <c r="B157" s="65" t="s">
        <v>134</v>
      </c>
      <c r="C157" s="141">
        <v>1994</v>
      </c>
      <c r="D157" s="141">
        <v>1994</v>
      </c>
      <c r="E157" s="141" t="s">
        <v>33</v>
      </c>
      <c r="F157" s="141">
        <v>5</v>
      </c>
      <c r="G157" s="141">
        <v>7</v>
      </c>
      <c r="H157" s="141">
        <v>8338.1</v>
      </c>
      <c r="I157" s="141">
        <v>8338.1</v>
      </c>
      <c r="J157" s="141">
        <v>8338.1</v>
      </c>
      <c r="K157" s="169">
        <v>366</v>
      </c>
      <c r="L157" s="282">
        <f>'раздел 4'!C160</f>
        <v>2058935.2999999998</v>
      </c>
      <c r="M157" s="282"/>
      <c r="N157" s="96">
        <v>1235361.18</v>
      </c>
      <c r="O157" s="96">
        <v>411787.06</v>
      </c>
      <c r="P157" s="96">
        <f>L157-N157-O157</f>
        <v>411787.0599999999</v>
      </c>
      <c r="Q157" s="95">
        <f>L157/H157</f>
        <v>246.93099147287748</v>
      </c>
      <c r="R157" s="96">
        <v>42000</v>
      </c>
      <c r="S157" s="126" t="s">
        <v>401</v>
      </c>
      <c r="T157" s="101" t="s">
        <v>318</v>
      </c>
      <c r="U157" s="86"/>
      <c r="V157" s="105">
        <f t="shared" si="40"/>
        <v>1235361.18</v>
      </c>
      <c r="W157" s="105">
        <f t="shared" si="41"/>
        <v>411787.06</v>
      </c>
      <c r="X157" s="105">
        <f>L157-'раздел 4'!C160</f>
        <v>0</v>
      </c>
    </row>
    <row r="158" spans="1:24" s="97" customFormat="1" ht="13.5">
      <c r="A158" s="87">
        <f>A157+1</f>
        <v>91</v>
      </c>
      <c r="B158" s="65" t="s">
        <v>135</v>
      </c>
      <c r="C158" s="141">
        <v>1972</v>
      </c>
      <c r="D158" s="141">
        <v>1972</v>
      </c>
      <c r="E158" s="141" t="s">
        <v>138</v>
      </c>
      <c r="F158" s="141">
        <v>5</v>
      </c>
      <c r="G158" s="141">
        <v>3</v>
      </c>
      <c r="H158" s="141">
        <v>2597.7</v>
      </c>
      <c r="I158" s="141">
        <v>2597.7</v>
      </c>
      <c r="J158" s="141">
        <v>2331.1</v>
      </c>
      <c r="K158" s="169">
        <v>121</v>
      </c>
      <c r="L158" s="282">
        <f>'раздел 4'!C161</f>
        <v>643213.16</v>
      </c>
      <c r="M158" s="282"/>
      <c r="N158" s="96">
        <v>385927.9</v>
      </c>
      <c r="O158" s="96">
        <v>128642.63</v>
      </c>
      <c r="P158" s="96">
        <f>L158-N158-O158</f>
        <v>128642.63</v>
      </c>
      <c r="Q158" s="95">
        <f>L158/H158</f>
        <v>247.6087154020865</v>
      </c>
      <c r="R158" s="96">
        <v>42000</v>
      </c>
      <c r="S158" s="126" t="s">
        <v>401</v>
      </c>
      <c r="T158" s="101" t="s">
        <v>318</v>
      </c>
      <c r="U158" s="86"/>
      <c r="V158" s="105">
        <f t="shared" si="40"/>
        <v>385927.896</v>
      </c>
      <c r="W158" s="105">
        <f t="shared" si="41"/>
        <v>128642.63200000001</v>
      </c>
      <c r="X158" s="105">
        <f>L158-'раздел 4'!C161</f>
        <v>0</v>
      </c>
    </row>
    <row r="159" spans="1:24" s="97" customFormat="1" ht="13.5">
      <c r="A159" s="87">
        <f>A158+1</f>
        <v>92</v>
      </c>
      <c r="B159" s="65" t="s">
        <v>136</v>
      </c>
      <c r="C159" s="141">
        <v>1973</v>
      </c>
      <c r="D159" s="141">
        <v>1973</v>
      </c>
      <c r="E159" s="141" t="s">
        <v>138</v>
      </c>
      <c r="F159" s="141">
        <v>5</v>
      </c>
      <c r="G159" s="141">
        <v>3</v>
      </c>
      <c r="H159" s="141">
        <v>2543.4</v>
      </c>
      <c r="I159" s="141">
        <v>2543.4</v>
      </c>
      <c r="J159" s="141">
        <v>2198.5</v>
      </c>
      <c r="K159" s="169">
        <v>135</v>
      </c>
      <c r="L159" s="282">
        <f>'раздел 4'!C162</f>
        <v>643277.37</v>
      </c>
      <c r="M159" s="282"/>
      <c r="N159" s="96">
        <v>385966.43</v>
      </c>
      <c r="O159" s="96">
        <v>128655.47</v>
      </c>
      <c r="P159" s="96">
        <f>L159-N159-O159</f>
        <v>128655.47</v>
      </c>
      <c r="Q159" s="95">
        <f>L159/H159</f>
        <v>252.9202524180231</v>
      </c>
      <c r="R159" s="96">
        <v>42000</v>
      </c>
      <c r="S159" s="126" t="s">
        <v>401</v>
      </c>
      <c r="T159" s="101" t="s">
        <v>318</v>
      </c>
      <c r="U159" s="86"/>
      <c r="V159" s="105">
        <f t="shared" si="40"/>
        <v>385966.42199999996</v>
      </c>
      <c r="W159" s="105">
        <f t="shared" si="41"/>
        <v>128655.474</v>
      </c>
      <c r="X159" s="105">
        <f>L159-'раздел 4'!C162</f>
        <v>0</v>
      </c>
    </row>
    <row r="160" spans="1:24" s="97" customFormat="1" ht="13.5">
      <c r="A160" s="87">
        <f>A159+1</f>
        <v>93</v>
      </c>
      <c r="B160" s="65" t="s">
        <v>137</v>
      </c>
      <c r="C160" s="141">
        <v>1980</v>
      </c>
      <c r="D160" s="141">
        <v>1980</v>
      </c>
      <c r="E160" s="141" t="s">
        <v>33</v>
      </c>
      <c r="F160" s="141">
        <v>5</v>
      </c>
      <c r="G160" s="141">
        <v>3</v>
      </c>
      <c r="H160" s="141">
        <v>2183.6</v>
      </c>
      <c r="I160" s="141">
        <v>2183.6</v>
      </c>
      <c r="J160" s="141">
        <v>1851.7</v>
      </c>
      <c r="K160" s="169">
        <v>112</v>
      </c>
      <c r="L160" s="282">
        <f>'раздел 4'!C163</f>
        <v>562811.43</v>
      </c>
      <c r="M160" s="282"/>
      <c r="N160" s="96">
        <v>337686.85</v>
      </c>
      <c r="O160" s="96">
        <v>112562.29</v>
      </c>
      <c r="P160" s="96">
        <f>L160-N160-O160</f>
        <v>112562.29000000008</v>
      </c>
      <c r="Q160" s="95">
        <f>L160/H160</f>
        <v>257.7447472064481</v>
      </c>
      <c r="R160" s="96">
        <v>42000</v>
      </c>
      <c r="S160" s="126" t="s">
        <v>401</v>
      </c>
      <c r="T160" s="101" t="s">
        <v>318</v>
      </c>
      <c r="U160" s="86"/>
      <c r="V160" s="105">
        <f t="shared" si="40"/>
        <v>337686.858</v>
      </c>
      <c r="W160" s="105">
        <f t="shared" si="41"/>
        <v>112562.28600000002</v>
      </c>
      <c r="X160" s="105">
        <f>L160-'раздел 4'!C163</f>
        <v>0</v>
      </c>
    </row>
    <row r="161" spans="1:24" s="97" customFormat="1" ht="13.5">
      <c r="A161" s="357" t="s">
        <v>64</v>
      </c>
      <c r="B161" s="358"/>
      <c r="C161" s="142" t="s">
        <v>37</v>
      </c>
      <c r="D161" s="142" t="s">
        <v>37</v>
      </c>
      <c r="E161" s="142" t="s">
        <v>37</v>
      </c>
      <c r="F161" s="142" t="s">
        <v>37</v>
      </c>
      <c r="G161" s="142" t="s">
        <v>37</v>
      </c>
      <c r="H161" s="121">
        <f aca="true" t="shared" si="48" ref="H161:P161">SUM(H157:H160)</f>
        <v>15662.8</v>
      </c>
      <c r="I161" s="121">
        <f t="shared" si="48"/>
        <v>15662.8</v>
      </c>
      <c r="J161" s="121">
        <f t="shared" si="48"/>
        <v>14719.400000000001</v>
      </c>
      <c r="K161" s="36">
        <f t="shared" si="48"/>
        <v>734</v>
      </c>
      <c r="L161" s="283">
        <f t="shared" si="48"/>
        <v>3908237.2600000002</v>
      </c>
      <c r="M161" s="284">
        <f t="shared" si="48"/>
        <v>0</v>
      </c>
      <c r="N161" s="284">
        <f t="shared" si="48"/>
        <v>2344942.36</v>
      </c>
      <c r="O161" s="284">
        <f t="shared" si="48"/>
        <v>781647.45</v>
      </c>
      <c r="P161" s="96">
        <f t="shared" si="48"/>
        <v>781647.45</v>
      </c>
      <c r="Q161" s="95">
        <f>L161/H161</f>
        <v>249.52353729856733</v>
      </c>
      <c r="R161" s="96"/>
      <c r="S161" s="126"/>
      <c r="T161" s="206"/>
      <c r="U161" s="105">
        <f>L161-N161-O161-P161</f>
        <v>0</v>
      </c>
      <c r="V161" s="105">
        <f t="shared" si="40"/>
        <v>2344942.356</v>
      </c>
      <c r="W161" s="105">
        <f t="shared" si="41"/>
        <v>781647.452</v>
      </c>
      <c r="X161" s="105">
        <f>L161-'раздел 4'!C164</f>
        <v>0</v>
      </c>
    </row>
    <row r="162" spans="1:25" s="97" customFormat="1" ht="13.5">
      <c r="A162" s="307" t="s">
        <v>255</v>
      </c>
      <c r="B162" s="307"/>
      <c r="C162" s="307"/>
      <c r="D162" s="32"/>
      <c r="E162" s="32"/>
      <c r="F162" s="32"/>
      <c r="G162" s="32"/>
      <c r="H162" s="206"/>
      <c r="I162" s="206"/>
      <c r="J162" s="206"/>
      <c r="K162" s="99"/>
      <c r="L162" s="96"/>
      <c r="M162" s="96"/>
      <c r="N162" s="96"/>
      <c r="O162" s="96"/>
      <c r="P162" s="96"/>
      <c r="Q162" s="95"/>
      <c r="R162" s="96"/>
      <c r="S162" s="206"/>
      <c r="T162" s="206"/>
      <c r="U162" s="86"/>
      <c r="V162" s="105">
        <f t="shared" si="40"/>
        <v>0</v>
      </c>
      <c r="W162" s="105">
        <f t="shared" si="41"/>
        <v>0</v>
      </c>
      <c r="X162" s="105">
        <f>L162-'раздел 4'!C165</f>
        <v>0</v>
      </c>
      <c r="Y162" s="97" t="s">
        <v>236</v>
      </c>
    </row>
    <row r="163" spans="1:24" s="97" customFormat="1" ht="13.5">
      <c r="A163" s="87">
        <f>A160+1</f>
        <v>94</v>
      </c>
      <c r="B163" s="88" t="s">
        <v>234</v>
      </c>
      <c r="C163" s="104">
        <v>1960</v>
      </c>
      <c r="D163" s="207" t="s">
        <v>32</v>
      </c>
      <c r="E163" s="206" t="s">
        <v>29</v>
      </c>
      <c r="F163" s="104">
        <v>2</v>
      </c>
      <c r="G163" s="104">
        <v>2</v>
      </c>
      <c r="H163" s="95">
        <v>5707.1</v>
      </c>
      <c r="I163" s="95">
        <v>3296</v>
      </c>
      <c r="J163" s="206">
        <v>527.2</v>
      </c>
      <c r="K163" s="99">
        <v>290</v>
      </c>
      <c r="L163" s="96">
        <f>'раздел 4'!C166</f>
        <v>463129.6</v>
      </c>
      <c r="M163" s="96"/>
      <c r="N163" s="96">
        <v>277877.76</v>
      </c>
      <c r="O163" s="96">
        <v>92625.92</v>
      </c>
      <c r="P163" s="96">
        <f>L163-N163-O163</f>
        <v>92625.91999999997</v>
      </c>
      <c r="Q163" s="95">
        <f>L163/H163</f>
        <v>81.14972578016855</v>
      </c>
      <c r="R163" s="96">
        <v>42000</v>
      </c>
      <c r="S163" s="126" t="s">
        <v>401</v>
      </c>
      <c r="T163" s="101" t="s">
        <v>318</v>
      </c>
      <c r="U163" s="86"/>
      <c r="V163" s="105">
        <f t="shared" si="40"/>
        <v>277877.75999999995</v>
      </c>
      <c r="W163" s="105">
        <f t="shared" si="41"/>
        <v>92625.92</v>
      </c>
      <c r="X163" s="105">
        <f>L163-'раздел 4'!C166</f>
        <v>0</v>
      </c>
    </row>
    <row r="164" spans="1:24" s="97" customFormat="1" ht="13.5">
      <c r="A164" s="357" t="s">
        <v>64</v>
      </c>
      <c r="B164" s="357"/>
      <c r="C164" s="32" t="s">
        <v>37</v>
      </c>
      <c r="D164" s="32" t="s">
        <v>37</v>
      </c>
      <c r="E164" s="32" t="s">
        <v>37</v>
      </c>
      <c r="F164" s="32" t="s">
        <v>37</v>
      </c>
      <c r="G164" s="32" t="s">
        <v>37</v>
      </c>
      <c r="H164" s="95">
        <f aca="true" t="shared" si="49" ref="H164:Q164">H163</f>
        <v>5707.1</v>
      </c>
      <c r="I164" s="95">
        <f t="shared" si="49"/>
        <v>3296</v>
      </c>
      <c r="J164" s="95">
        <f t="shared" si="49"/>
        <v>527.2</v>
      </c>
      <c r="K164" s="99">
        <f t="shared" si="49"/>
        <v>290</v>
      </c>
      <c r="L164" s="73">
        <f t="shared" si="49"/>
        <v>463129.6</v>
      </c>
      <c r="M164" s="96">
        <f t="shared" si="49"/>
        <v>0</v>
      </c>
      <c r="N164" s="96">
        <f t="shared" si="49"/>
        <v>277877.76</v>
      </c>
      <c r="O164" s="96">
        <f t="shared" si="49"/>
        <v>92625.92</v>
      </c>
      <c r="P164" s="96">
        <f t="shared" si="49"/>
        <v>92625.91999999997</v>
      </c>
      <c r="Q164" s="95">
        <f t="shared" si="49"/>
        <v>81.14972578016855</v>
      </c>
      <c r="R164" s="96"/>
      <c r="S164" s="126" t="s">
        <v>401</v>
      </c>
      <c r="T164" s="206"/>
      <c r="U164" s="105">
        <f>L164-N164-O164-P164</f>
        <v>0</v>
      </c>
      <c r="V164" s="105">
        <f t="shared" si="40"/>
        <v>277877.75999999995</v>
      </c>
      <c r="W164" s="105">
        <f t="shared" si="41"/>
        <v>92625.92</v>
      </c>
      <c r="X164" s="105">
        <f>L164-'раздел 4'!C167</f>
        <v>0</v>
      </c>
    </row>
    <row r="165" spans="1:24" s="97" customFormat="1" ht="13.5">
      <c r="A165" s="307" t="s">
        <v>93</v>
      </c>
      <c r="B165" s="307"/>
      <c r="C165" s="307"/>
      <c r="D165" s="32"/>
      <c r="E165" s="32"/>
      <c r="F165" s="32"/>
      <c r="G165" s="32"/>
      <c r="H165" s="206"/>
      <c r="I165" s="206"/>
      <c r="J165" s="206"/>
      <c r="K165" s="99"/>
      <c r="L165" s="96"/>
      <c r="M165" s="96"/>
      <c r="N165" s="96"/>
      <c r="O165" s="96"/>
      <c r="P165" s="96"/>
      <c r="Q165" s="95"/>
      <c r="R165" s="96"/>
      <c r="S165" s="126"/>
      <c r="T165" s="206"/>
      <c r="U165" s="86"/>
      <c r="V165" s="105">
        <f t="shared" si="40"/>
        <v>0</v>
      </c>
      <c r="W165" s="105">
        <f t="shared" si="41"/>
        <v>0</v>
      </c>
      <c r="X165" s="105">
        <f>L165-'раздел 4'!C168</f>
        <v>0</v>
      </c>
    </row>
    <row r="166" spans="1:24" s="97" customFormat="1" ht="13.5">
      <c r="A166" s="92">
        <f>A163+1</f>
        <v>95</v>
      </c>
      <c r="B166" s="103" t="s">
        <v>396</v>
      </c>
      <c r="C166" s="207">
        <v>1962</v>
      </c>
      <c r="D166" s="206"/>
      <c r="E166" s="206" t="s">
        <v>27</v>
      </c>
      <c r="F166" s="206">
        <v>3</v>
      </c>
      <c r="G166" s="206">
        <v>3</v>
      </c>
      <c r="H166" s="206">
        <v>1116</v>
      </c>
      <c r="I166" s="206">
        <v>1116</v>
      </c>
      <c r="J166" s="206"/>
      <c r="K166" s="99">
        <v>19</v>
      </c>
      <c r="L166" s="96">
        <f>'раздел 4'!C169</f>
        <v>842307.74</v>
      </c>
      <c r="M166" s="96">
        <v>0</v>
      </c>
      <c r="N166" s="96">
        <v>505384.64</v>
      </c>
      <c r="O166" s="96">
        <v>168461.55</v>
      </c>
      <c r="P166" s="96">
        <f>L166-N166-O166</f>
        <v>168461.55</v>
      </c>
      <c r="Q166" s="95">
        <f>L166/H166</f>
        <v>754.7560394265233</v>
      </c>
      <c r="R166" s="96">
        <v>42000</v>
      </c>
      <c r="S166" s="126" t="s">
        <v>401</v>
      </c>
      <c r="T166" s="101" t="s">
        <v>318</v>
      </c>
      <c r="U166" s="86"/>
      <c r="V166" s="105">
        <f t="shared" si="40"/>
        <v>505384.644</v>
      </c>
      <c r="W166" s="105">
        <f t="shared" si="41"/>
        <v>168461.548</v>
      </c>
      <c r="X166" s="105">
        <f>L166-'раздел 4'!C169</f>
        <v>0</v>
      </c>
    </row>
    <row r="167" spans="1:24" s="97" customFormat="1" ht="13.5">
      <c r="A167" s="308" t="s">
        <v>64</v>
      </c>
      <c r="B167" s="308"/>
      <c r="C167" s="32" t="s">
        <v>37</v>
      </c>
      <c r="D167" s="32" t="s">
        <v>37</v>
      </c>
      <c r="E167" s="32" t="s">
        <v>37</v>
      </c>
      <c r="F167" s="32" t="s">
        <v>37</v>
      </c>
      <c r="G167" s="32" t="s">
        <v>37</v>
      </c>
      <c r="H167" s="206">
        <f aca="true" t="shared" si="50" ref="H167:P167">SUM(H166:H166)</f>
        <v>1116</v>
      </c>
      <c r="I167" s="206">
        <f t="shared" si="50"/>
        <v>1116</v>
      </c>
      <c r="J167" s="206">
        <f t="shared" si="50"/>
        <v>0</v>
      </c>
      <c r="K167" s="99">
        <f t="shared" si="50"/>
        <v>19</v>
      </c>
      <c r="L167" s="73">
        <f t="shared" si="50"/>
        <v>842307.74</v>
      </c>
      <c r="M167" s="96">
        <f t="shared" si="50"/>
        <v>0</v>
      </c>
      <c r="N167" s="96">
        <f t="shared" si="50"/>
        <v>505384.64</v>
      </c>
      <c r="O167" s="96">
        <f t="shared" si="50"/>
        <v>168461.55</v>
      </c>
      <c r="P167" s="96">
        <f t="shared" si="50"/>
        <v>168461.55</v>
      </c>
      <c r="Q167" s="95">
        <f>L167/H167</f>
        <v>754.7560394265233</v>
      </c>
      <c r="R167" s="96"/>
      <c r="S167" s="126"/>
      <c r="T167" s="206"/>
      <c r="U167" s="105">
        <f>L167-N167-O167-P167</f>
        <v>0</v>
      </c>
      <c r="V167" s="105">
        <f t="shared" si="40"/>
        <v>505384.644</v>
      </c>
      <c r="W167" s="105">
        <f t="shared" si="41"/>
        <v>168461.548</v>
      </c>
      <c r="X167" s="105">
        <f>L167-'раздел 4'!C170</f>
        <v>0</v>
      </c>
    </row>
    <row r="168" spans="1:24" s="97" customFormat="1" ht="13.5">
      <c r="A168" s="307" t="s">
        <v>321</v>
      </c>
      <c r="B168" s="307"/>
      <c r="C168" s="307"/>
      <c r="D168" s="32"/>
      <c r="E168" s="32"/>
      <c r="F168" s="32"/>
      <c r="G168" s="32"/>
      <c r="H168" s="206"/>
      <c r="I168" s="206"/>
      <c r="J168" s="206"/>
      <c r="K168" s="99"/>
      <c r="L168" s="73"/>
      <c r="M168" s="96"/>
      <c r="N168" s="96"/>
      <c r="O168" s="96"/>
      <c r="P168" s="96"/>
      <c r="Q168" s="95"/>
      <c r="R168" s="96"/>
      <c r="S168" s="126"/>
      <c r="T168" s="206"/>
      <c r="U168" s="105"/>
      <c r="V168" s="105"/>
      <c r="W168" s="105"/>
      <c r="X168" s="105">
        <f>L168-'раздел 4'!C171</f>
        <v>0</v>
      </c>
    </row>
    <row r="169" spans="1:24" s="97" customFormat="1" ht="27">
      <c r="A169" s="92">
        <f>A166+1</f>
        <v>96</v>
      </c>
      <c r="B169" s="100" t="s">
        <v>322</v>
      </c>
      <c r="C169" s="87">
        <v>1971</v>
      </c>
      <c r="D169" s="40"/>
      <c r="E169" s="207" t="s">
        <v>329</v>
      </c>
      <c r="F169" s="98">
        <v>5</v>
      </c>
      <c r="G169" s="98">
        <v>8</v>
      </c>
      <c r="H169" s="32">
        <v>7734.7</v>
      </c>
      <c r="I169" s="32">
        <v>7734.7</v>
      </c>
      <c r="J169" s="32">
        <v>4778.2</v>
      </c>
      <c r="K169" s="87">
        <v>373</v>
      </c>
      <c r="L169" s="282">
        <f>'раздел 4'!C172</f>
        <v>308445.98</v>
      </c>
      <c r="M169" s="284"/>
      <c r="N169" s="96">
        <v>185067.58</v>
      </c>
      <c r="O169" s="96">
        <v>61689.2</v>
      </c>
      <c r="P169" s="96">
        <f aca="true" t="shared" si="51" ref="P169:P174">L169-N169-O169</f>
        <v>61689.2</v>
      </c>
      <c r="Q169" s="95">
        <f aca="true" t="shared" si="52" ref="Q169:Q175">L169/H169</f>
        <v>39.878208592447024</v>
      </c>
      <c r="R169" s="96">
        <v>42000</v>
      </c>
      <c r="S169" s="126" t="s">
        <v>401</v>
      </c>
      <c r="T169" s="220" t="s">
        <v>350</v>
      </c>
      <c r="U169" s="105"/>
      <c r="V169" s="105">
        <f aca="true" t="shared" si="53" ref="V169:V174">L169*0.6</f>
        <v>185067.588</v>
      </c>
      <c r="W169" s="105">
        <f aca="true" t="shared" si="54" ref="W169:W174">L169*0.2</f>
        <v>61689.195999999996</v>
      </c>
      <c r="X169" s="105">
        <f>L169-'раздел 4'!C172</f>
        <v>0</v>
      </c>
    </row>
    <row r="170" spans="1:24" s="97" customFormat="1" ht="27">
      <c r="A170" s="92">
        <f>A169+1</f>
        <v>97</v>
      </c>
      <c r="B170" s="100" t="s">
        <v>323</v>
      </c>
      <c r="C170" s="207">
        <v>1981</v>
      </c>
      <c r="D170" s="221"/>
      <c r="E170" s="207" t="s">
        <v>329</v>
      </c>
      <c r="F170" s="98">
        <v>5</v>
      </c>
      <c r="G170" s="98">
        <v>4</v>
      </c>
      <c r="H170" s="32">
        <v>3238</v>
      </c>
      <c r="I170" s="32">
        <v>3238</v>
      </c>
      <c r="J170" s="32">
        <v>2897.2</v>
      </c>
      <c r="K170" s="87">
        <v>163</v>
      </c>
      <c r="L170" s="282">
        <f>'раздел 4'!C173</f>
        <v>328599.7</v>
      </c>
      <c r="M170" s="284"/>
      <c r="N170" s="96">
        <v>197159.82</v>
      </c>
      <c r="O170" s="96">
        <v>65719.94</v>
      </c>
      <c r="P170" s="96">
        <f t="shared" si="51"/>
        <v>65719.94</v>
      </c>
      <c r="Q170" s="95">
        <f t="shared" si="52"/>
        <v>101.48230389129093</v>
      </c>
      <c r="R170" s="96">
        <v>42000</v>
      </c>
      <c r="S170" s="126" t="s">
        <v>401</v>
      </c>
      <c r="T170" s="220" t="s">
        <v>350</v>
      </c>
      <c r="U170" s="105"/>
      <c r="V170" s="105">
        <f t="shared" si="53"/>
        <v>197159.82</v>
      </c>
      <c r="W170" s="105">
        <f t="shared" si="54"/>
        <v>65719.94</v>
      </c>
      <c r="X170" s="105">
        <f>L170-'раздел 4'!C173</f>
        <v>0</v>
      </c>
    </row>
    <row r="171" spans="1:24" s="97" customFormat="1" ht="27">
      <c r="A171" s="92">
        <f>A170+1</f>
        <v>98</v>
      </c>
      <c r="B171" s="100" t="s">
        <v>324</v>
      </c>
      <c r="C171" s="87">
        <v>1983</v>
      </c>
      <c r="D171" s="222"/>
      <c r="E171" s="207" t="s">
        <v>329</v>
      </c>
      <c r="F171" s="98">
        <v>5</v>
      </c>
      <c r="G171" s="98">
        <v>4</v>
      </c>
      <c r="H171" s="32">
        <v>3274.9</v>
      </c>
      <c r="I171" s="32">
        <v>3274.9</v>
      </c>
      <c r="J171" s="32">
        <v>2628.3</v>
      </c>
      <c r="K171" s="87">
        <v>170</v>
      </c>
      <c r="L171" s="282">
        <f>'раздел 4'!C174</f>
        <v>327010.7</v>
      </c>
      <c r="M171" s="284"/>
      <c r="N171" s="96">
        <v>196206.42</v>
      </c>
      <c r="O171" s="96">
        <v>65402.14</v>
      </c>
      <c r="P171" s="96">
        <f t="shared" si="51"/>
        <v>65402.14</v>
      </c>
      <c r="Q171" s="95">
        <f t="shared" si="52"/>
        <v>99.85364438608812</v>
      </c>
      <c r="R171" s="96">
        <v>42000</v>
      </c>
      <c r="S171" s="126" t="s">
        <v>401</v>
      </c>
      <c r="T171" s="220" t="s">
        <v>350</v>
      </c>
      <c r="U171" s="105"/>
      <c r="V171" s="105">
        <f t="shared" si="53"/>
        <v>196206.42</v>
      </c>
      <c r="W171" s="105">
        <f t="shared" si="54"/>
        <v>65402.14000000001</v>
      </c>
      <c r="X171" s="105">
        <f>L171-'раздел 4'!C174</f>
        <v>0</v>
      </c>
    </row>
    <row r="172" spans="1:24" s="97" customFormat="1" ht="27">
      <c r="A172" s="92">
        <f>A171+1</f>
        <v>99</v>
      </c>
      <c r="B172" s="100" t="s">
        <v>325</v>
      </c>
      <c r="C172" s="207">
        <v>1992</v>
      </c>
      <c r="D172" s="221"/>
      <c r="E172" s="207" t="s">
        <v>329</v>
      </c>
      <c r="F172" s="98">
        <v>5</v>
      </c>
      <c r="G172" s="98">
        <v>3</v>
      </c>
      <c r="H172" s="32">
        <v>3570.4</v>
      </c>
      <c r="I172" s="32">
        <v>3570.4</v>
      </c>
      <c r="J172" s="32">
        <v>3428.6</v>
      </c>
      <c r="K172" s="87">
        <v>123</v>
      </c>
      <c r="L172" s="282">
        <f>'раздел 4'!C175</f>
        <v>356037.45</v>
      </c>
      <c r="M172" s="284"/>
      <c r="N172" s="96">
        <v>213622.47</v>
      </c>
      <c r="O172" s="96">
        <v>71207.49</v>
      </c>
      <c r="P172" s="96">
        <f t="shared" si="51"/>
        <v>71207.49</v>
      </c>
      <c r="Q172" s="95">
        <f t="shared" si="52"/>
        <v>99.71920513107776</v>
      </c>
      <c r="R172" s="96">
        <v>42000</v>
      </c>
      <c r="S172" s="126" t="s">
        <v>401</v>
      </c>
      <c r="T172" s="220" t="s">
        <v>350</v>
      </c>
      <c r="U172" s="105"/>
      <c r="V172" s="105">
        <f t="shared" si="53"/>
        <v>213622.47</v>
      </c>
      <c r="W172" s="105">
        <f t="shared" si="54"/>
        <v>71207.49</v>
      </c>
      <c r="X172" s="105">
        <f>L172-'раздел 4'!C175</f>
        <v>0</v>
      </c>
    </row>
    <row r="173" spans="1:24" s="97" customFormat="1" ht="27">
      <c r="A173" s="92">
        <f>A172+1</f>
        <v>100</v>
      </c>
      <c r="B173" s="100" t="s">
        <v>326</v>
      </c>
      <c r="C173" s="87">
        <v>1993</v>
      </c>
      <c r="D173" s="222"/>
      <c r="E173" s="207" t="s">
        <v>329</v>
      </c>
      <c r="F173" s="98">
        <v>5</v>
      </c>
      <c r="G173" s="98">
        <v>3</v>
      </c>
      <c r="H173" s="32">
        <v>3599</v>
      </c>
      <c r="I173" s="32">
        <v>3599</v>
      </c>
      <c r="J173" s="32">
        <v>3373.4</v>
      </c>
      <c r="K173" s="87">
        <v>127</v>
      </c>
      <c r="L173" s="282">
        <f>'раздел 4'!C176</f>
        <v>682668.66</v>
      </c>
      <c r="M173" s="284"/>
      <c r="N173" s="96">
        <v>214273.8</v>
      </c>
      <c r="O173" s="96">
        <v>71424.6</v>
      </c>
      <c r="P173" s="96">
        <f t="shared" si="51"/>
        <v>396970.26</v>
      </c>
      <c r="Q173" s="95">
        <f t="shared" si="52"/>
        <v>189.6828730202834</v>
      </c>
      <c r="R173" s="96">
        <v>42000</v>
      </c>
      <c r="S173" s="126" t="s">
        <v>401</v>
      </c>
      <c r="T173" s="220" t="s">
        <v>350</v>
      </c>
      <c r="U173" s="105"/>
      <c r="V173" s="105">
        <f t="shared" si="53"/>
        <v>409601.196</v>
      </c>
      <c r="W173" s="105">
        <f t="shared" si="54"/>
        <v>136533.73200000002</v>
      </c>
      <c r="X173" s="105">
        <f>L173-'раздел 4'!C176</f>
        <v>0</v>
      </c>
    </row>
    <row r="174" spans="1:24" s="97" customFormat="1" ht="27">
      <c r="A174" s="92">
        <f>A173+1</f>
        <v>101</v>
      </c>
      <c r="B174" s="100" t="s">
        <v>327</v>
      </c>
      <c r="C174" s="206">
        <v>1995</v>
      </c>
      <c r="D174" s="99"/>
      <c r="E174" s="207" t="s">
        <v>329</v>
      </c>
      <c r="F174" s="98">
        <v>5</v>
      </c>
      <c r="G174" s="98">
        <v>3</v>
      </c>
      <c r="H174" s="95">
        <v>3648.1</v>
      </c>
      <c r="I174" s="95">
        <v>3648.1</v>
      </c>
      <c r="J174" s="95">
        <v>3533.3</v>
      </c>
      <c r="K174" s="87">
        <v>112</v>
      </c>
      <c r="L174" s="282">
        <f>'раздел 4'!C177</f>
        <v>686370.98</v>
      </c>
      <c r="M174" s="284"/>
      <c r="N174" s="96">
        <v>215500.95</v>
      </c>
      <c r="O174" s="96">
        <v>71833.65</v>
      </c>
      <c r="P174" s="96">
        <f t="shared" si="51"/>
        <v>399036.38</v>
      </c>
      <c r="Q174" s="95">
        <f t="shared" si="52"/>
        <v>188.1447822153998</v>
      </c>
      <c r="R174" s="96">
        <v>42000</v>
      </c>
      <c r="S174" s="126" t="s">
        <v>401</v>
      </c>
      <c r="T174" s="220" t="s">
        <v>350</v>
      </c>
      <c r="U174" s="105"/>
      <c r="V174" s="105">
        <f t="shared" si="53"/>
        <v>411822.588</v>
      </c>
      <c r="W174" s="105">
        <f t="shared" si="54"/>
        <v>137274.196</v>
      </c>
      <c r="X174" s="105">
        <f>L174-'раздел 4'!C177</f>
        <v>0</v>
      </c>
    </row>
    <row r="175" spans="1:24" s="97" customFormat="1" ht="13.5">
      <c r="A175" s="308" t="s">
        <v>64</v>
      </c>
      <c r="B175" s="308"/>
      <c r="C175" s="32" t="s">
        <v>37</v>
      </c>
      <c r="D175" s="32" t="s">
        <v>37</v>
      </c>
      <c r="E175" s="32" t="s">
        <v>37</v>
      </c>
      <c r="F175" s="32" t="s">
        <v>37</v>
      </c>
      <c r="G175" s="32" t="s">
        <v>37</v>
      </c>
      <c r="H175" s="95">
        <f>H169+H170+H171+H172+H173+H174</f>
        <v>25065.1</v>
      </c>
      <c r="I175" s="95">
        <f aca="true" t="shared" si="55" ref="I175:P175">I169+I170+I171+I172+I173+I174</f>
        <v>25065.1</v>
      </c>
      <c r="J175" s="95">
        <f t="shared" si="55"/>
        <v>20639</v>
      </c>
      <c r="K175" s="99">
        <f t="shared" si="55"/>
        <v>1068</v>
      </c>
      <c r="L175" s="96">
        <f t="shared" si="55"/>
        <v>2689133.4699999997</v>
      </c>
      <c r="M175" s="96">
        <f t="shared" si="55"/>
        <v>0</v>
      </c>
      <c r="N175" s="96">
        <f t="shared" si="55"/>
        <v>1221831.04</v>
      </c>
      <c r="O175" s="96">
        <f t="shared" si="55"/>
        <v>407277.02</v>
      </c>
      <c r="P175" s="96">
        <f t="shared" si="55"/>
        <v>1060025.4100000001</v>
      </c>
      <c r="Q175" s="95">
        <f t="shared" si="52"/>
        <v>107.2859661441606</v>
      </c>
      <c r="R175" s="96"/>
      <c r="S175" s="206"/>
      <c r="T175" s="206"/>
      <c r="U175" s="86"/>
      <c r="V175" s="105">
        <f t="shared" si="40"/>
        <v>1613480.0819999997</v>
      </c>
      <c r="W175" s="105">
        <f t="shared" si="41"/>
        <v>537826.694</v>
      </c>
      <c r="X175" s="105">
        <f>L175-'раздел 4'!C178</f>
        <v>0</v>
      </c>
    </row>
    <row r="176" spans="1:25" s="97" customFormat="1" ht="15.75" customHeight="1">
      <c r="A176" s="307" t="s">
        <v>256</v>
      </c>
      <c r="B176" s="307"/>
      <c r="C176" s="307"/>
      <c r="D176" s="32"/>
      <c r="E176" s="32"/>
      <c r="F176" s="32"/>
      <c r="G176" s="32"/>
      <c r="H176" s="206"/>
      <c r="I176" s="206"/>
      <c r="J176" s="206"/>
      <c r="K176" s="99"/>
      <c r="L176" s="96"/>
      <c r="M176" s="96"/>
      <c r="N176" s="96"/>
      <c r="O176" s="96"/>
      <c r="P176" s="96"/>
      <c r="Q176" s="95"/>
      <c r="R176" s="96"/>
      <c r="S176" s="206"/>
      <c r="T176" s="206"/>
      <c r="U176" s="86"/>
      <c r="V176" s="105">
        <f t="shared" si="40"/>
        <v>0</v>
      </c>
      <c r="W176" s="105">
        <f t="shared" si="41"/>
        <v>0</v>
      </c>
      <c r="X176" s="105">
        <f>L176-'раздел 4'!C179</f>
        <v>0</v>
      </c>
      <c r="Y176" s="97" t="s">
        <v>197</v>
      </c>
    </row>
    <row r="177" spans="1:24" s="97" customFormat="1" ht="15.75" customHeight="1">
      <c r="A177" s="92">
        <f>A174+1</f>
        <v>102</v>
      </c>
      <c r="B177" s="100" t="s">
        <v>232</v>
      </c>
      <c r="C177" s="98">
        <v>1967</v>
      </c>
      <c r="D177" s="32"/>
      <c r="E177" s="32" t="s">
        <v>29</v>
      </c>
      <c r="F177" s="32">
        <v>2</v>
      </c>
      <c r="G177" s="32">
        <v>2</v>
      </c>
      <c r="H177" s="206">
        <v>509.5</v>
      </c>
      <c r="I177" s="206">
        <v>509.5</v>
      </c>
      <c r="J177" s="206">
        <v>372.8</v>
      </c>
      <c r="K177" s="99">
        <v>41</v>
      </c>
      <c r="L177" s="96">
        <f>'раздел 4'!C180</f>
        <v>251439.06</v>
      </c>
      <c r="M177" s="96"/>
      <c r="N177" s="96">
        <v>150863.44</v>
      </c>
      <c r="O177" s="96">
        <v>50287.81</v>
      </c>
      <c r="P177" s="96">
        <f>L177-N177-O177</f>
        <v>50287.81</v>
      </c>
      <c r="Q177" s="95">
        <f>L177/H177</f>
        <v>493.50158979391557</v>
      </c>
      <c r="R177" s="96">
        <v>42000</v>
      </c>
      <c r="S177" s="126" t="s">
        <v>401</v>
      </c>
      <c r="T177" s="101" t="s">
        <v>318</v>
      </c>
      <c r="U177" s="86"/>
      <c r="V177" s="105">
        <f t="shared" si="40"/>
        <v>150863.436</v>
      </c>
      <c r="W177" s="105">
        <f t="shared" si="41"/>
        <v>50287.812000000005</v>
      </c>
      <c r="X177" s="105">
        <f>L177-'раздел 4'!C180</f>
        <v>0</v>
      </c>
    </row>
    <row r="178" spans="1:24" s="97" customFormat="1" ht="15.75" customHeight="1">
      <c r="A178" s="357" t="s">
        <v>64</v>
      </c>
      <c r="B178" s="357"/>
      <c r="C178" s="32" t="s">
        <v>37</v>
      </c>
      <c r="D178" s="32" t="s">
        <v>37</v>
      </c>
      <c r="E178" s="32" t="s">
        <v>37</v>
      </c>
      <c r="F178" s="32" t="s">
        <v>37</v>
      </c>
      <c r="G178" s="32" t="s">
        <v>37</v>
      </c>
      <c r="H178" s="95">
        <f aca="true" t="shared" si="56" ref="H178:P178">H177</f>
        <v>509.5</v>
      </c>
      <c r="I178" s="95">
        <f t="shared" si="56"/>
        <v>509.5</v>
      </c>
      <c r="J178" s="95">
        <f t="shared" si="56"/>
        <v>372.8</v>
      </c>
      <c r="K178" s="99">
        <f t="shared" si="56"/>
        <v>41</v>
      </c>
      <c r="L178" s="96">
        <f t="shared" si="56"/>
        <v>251439.06</v>
      </c>
      <c r="M178" s="96">
        <f t="shared" si="56"/>
        <v>0</v>
      </c>
      <c r="N178" s="96">
        <f t="shared" si="56"/>
        <v>150863.44</v>
      </c>
      <c r="O178" s="96">
        <f t="shared" si="56"/>
        <v>50287.81</v>
      </c>
      <c r="P178" s="96">
        <f t="shared" si="56"/>
        <v>50287.81</v>
      </c>
      <c r="Q178" s="95">
        <f>L178/H178</f>
        <v>493.50158979391557</v>
      </c>
      <c r="R178" s="96"/>
      <c r="S178" s="206"/>
      <c r="T178" s="206"/>
      <c r="V178" s="120">
        <f t="shared" si="40"/>
        <v>150863.436</v>
      </c>
      <c r="W178" s="120">
        <f t="shared" si="41"/>
        <v>50287.812000000005</v>
      </c>
      <c r="X178" s="105">
        <f>L178-'раздел 4'!C181</f>
        <v>0</v>
      </c>
    </row>
    <row r="179" spans="1:24" s="97" customFormat="1" ht="13.5">
      <c r="A179" s="344" t="s">
        <v>81</v>
      </c>
      <c r="B179" s="344"/>
      <c r="C179" s="344"/>
      <c r="D179" s="110" t="s">
        <v>37</v>
      </c>
      <c r="E179" s="110" t="s">
        <v>37</v>
      </c>
      <c r="F179" s="110" t="s">
        <v>37</v>
      </c>
      <c r="G179" s="110" t="s">
        <v>37</v>
      </c>
      <c r="H179" s="29">
        <f>H155+H161+H164+H167+H178+H175</f>
        <v>51034.86</v>
      </c>
      <c r="I179" s="29">
        <f aca="true" t="shared" si="57" ref="I179:P179">I155+I161+I164+I167+I178+I175</f>
        <v>48623.759999999995</v>
      </c>
      <c r="J179" s="29">
        <f t="shared" si="57"/>
        <v>38634.3</v>
      </c>
      <c r="K179" s="159">
        <f t="shared" si="57"/>
        <v>2274</v>
      </c>
      <c r="L179" s="73">
        <f t="shared" si="57"/>
        <v>12661102.95</v>
      </c>
      <c r="M179" s="73">
        <f t="shared" si="57"/>
        <v>0</v>
      </c>
      <c r="N179" s="73">
        <f t="shared" si="57"/>
        <v>7205012.739999999</v>
      </c>
      <c r="O179" s="73">
        <f t="shared" si="57"/>
        <v>2401670.91</v>
      </c>
      <c r="P179" s="73">
        <f t="shared" si="57"/>
        <v>3054419.3000000003</v>
      </c>
      <c r="Q179" s="29">
        <f>L179/H179</f>
        <v>248.08734559083732</v>
      </c>
      <c r="R179" s="96"/>
      <c r="S179" s="206"/>
      <c r="T179" s="206"/>
      <c r="U179" s="105">
        <f>L179-N179-O179-P179</f>
        <v>0</v>
      </c>
      <c r="V179" s="105">
        <f t="shared" si="40"/>
        <v>7596661.77</v>
      </c>
      <c r="W179" s="105">
        <f t="shared" si="41"/>
        <v>2532220.59</v>
      </c>
      <c r="X179" s="105">
        <f>L179-'раздел 4'!C182</f>
        <v>0</v>
      </c>
    </row>
    <row r="180" spans="1:26" s="97" customFormat="1" ht="13.5">
      <c r="A180" s="385" t="s">
        <v>388</v>
      </c>
      <c r="B180" s="386"/>
      <c r="C180" s="386"/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  <c r="S180" s="386"/>
      <c r="T180" s="386"/>
      <c r="U180" s="387"/>
      <c r="V180" s="105">
        <f t="shared" si="40"/>
        <v>0</v>
      </c>
      <c r="W180" s="105">
        <f t="shared" si="41"/>
        <v>0</v>
      </c>
      <c r="X180" s="105">
        <f>L180-'раздел 4'!C183</f>
        <v>0</v>
      </c>
      <c r="Y180" s="107"/>
      <c r="Z180" s="107"/>
    </row>
    <row r="181" spans="1:26" s="97" customFormat="1" ht="13.5">
      <c r="A181" s="307" t="s">
        <v>257</v>
      </c>
      <c r="B181" s="307"/>
      <c r="C181" s="307"/>
      <c r="D181" s="106"/>
      <c r="E181" s="106"/>
      <c r="F181" s="106"/>
      <c r="G181" s="106"/>
      <c r="H181" s="106"/>
      <c r="I181" s="106"/>
      <c r="J181" s="106"/>
      <c r="K181" s="163"/>
      <c r="L181" s="276"/>
      <c r="M181" s="276"/>
      <c r="N181" s="276"/>
      <c r="O181" s="276"/>
      <c r="P181" s="276"/>
      <c r="Q181" s="106"/>
      <c r="R181" s="276"/>
      <c r="S181" s="106"/>
      <c r="T181" s="106"/>
      <c r="U181" s="106"/>
      <c r="V181" s="105">
        <f t="shared" si="40"/>
        <v>0</v>
      </c>
      <c r="W181" s="105">
        <f t="shared" si="41"/>
        <v>0</v>
      </c>
      <c r="X181" s="105">
        <f>L181-'раздел 4'!C184</f>
        <v>0</v>
      </c>
      <c r="Y181" s="78" t="s">
        <v>297</v>
      </c>
      <c r="Z181" s="106"/>
    </row>
    <row r="182" spans="1:26" s="97" customFormat="1" ht="14.25">
      <c r="A182" s="87">
        <f>A177+1</f>
        <v>103</v>
      </c>
      <c r="B182" s="93" t="s">
        <v>237</v>
      </c>
      <c r="C182" s="104">
        <v>1960</v>
      </c>
      <c r="D182" s="207" t="s">
        <v>32</v>
      </c>
      <c r="E182" s="206" t="s">
        <v>29</v>
      </c>
      <c r="F182" s="104">
        <v>2</v>
      </c>
      <c r="G182" s="104">
        <v>2</v>
      </c>
      <c r="H182" s="104">
        <v>679.8</v>
      </c>
      <c r="I182" s="104">
        <v>632</v>
      </c>
      <c r="J182" s="104">
        <v>0</v>
      </c>
      <c r="K182" s="164">
        <v>26</v>
      </c>
      <c r="L182" s="251">
        <f>'раздел 4'!C185</f>
        <v>158959.07</v>
      </c>
      <c r="M182" s="276"/>
      <c r="N182" s="96">
        <v>95375.45</v>
      </c>
      <c r="O182" s="96">
        <v>31791.81</v>
      </c>
      <c r="P182" s="96">
        <f>L182-N182-O182</f>
        <v>31791.81000000001</v>
      </c>
      <c r="Q182" s="95">
        <f>L182/H182</f>
        <v>233.8321123859959</v>
      </c>
      <c r="R182" s="96">
        <v>42000</v>
      </c>
      <c r="S182" s="126" t="s">
        <v>401</v>
      </c>
      <c r="T182" s="101" t="s">
        <v>318</v>
      </c>
      <c r="U182" s="106"/>
      <c r="V182" s="105">
        <f t="shared" si="40"/>
        <v>95375.442</v>
      </c>
      <c r="W182" s="105">
        <f t="shared" si="41"/>
        <v>31791.814000000002</v>
      </c>
      <c r="X182" s="105">
        <f>L182-'раздел 4'!C185</f>
        <v>0</v>
      </c>
      <c r="Y182" s="106"/>
      <c r="Z182" s="106"/>
    </row>
    <row r="183" spans="1:26" s="97" customFormat="1" ht="13.5">
      <c r="A183" s="357" t="s">
        <v>64</v>
      </c>
      <c r="B183" s="357"/>
      <c r="C183" s="32" t="s">
        <v>37</v>
      </c>
      <c r="D183" s="32" t="s">
        <v>37</v>
      </c>
      <c r="E183" s="32" t="s">
        <v>37</v>
      </c>
      <c r="F183" s="32" t="s">
        <v>37</v>
      </c>
      <c r="G183" s="32" t="s">
        <v>37</v>
      </c>
      <c r="H183" s="104">
        <f>H182</f>
        <v>679.8</v>
      </c>
      <c r="I183" s="104">
        <f>I182</f>
        <v>632</v>
      </c>
      <c r="J183" s="104">
        <f>J182</f>
        <v>0</v>
      </c>
      <c r="K183" s="164">
        <f>K182</f>
        <v>26</v>
      </c>
      <c r="L183" s="234">
        <f>SUM(L182)</f>
        <v>158959.07</v>
      </c>
      <c r="M183" s="234">
        <f>SUM(M182)</f>
        <v>0</v>
      </c>
      <c r="N183" s="234">
        <f>SUM(N182)</f>
        <v>95375.45</v>
      </c>
      <c r="O183" s="234">
        <f>SUM(O182)</f>
        <v>31791.81</v>
      </c>
      <c r="P183" s="234">
        <f>SUM(P182)</f>
        <v>31791.81000000001</v>
      </c>
      <c r="Q183" s="95">
        <f>L183/H183</f>
        <v>233.8321123859959</v>
      </c>
      <c r="R183" s="96"/>
      <c r="S183" s="106"/>
      <c r="T183" s="106"/>
      <c r="U183" s="105">
        <f>L183-N183-O183-P183</f>
        <v>0</v>
      </c>
      <c r="V183" s="105">
        <f t="shared" si="40"/>
        <v>95375.442</v>
      </c>
      <c r="W183" s="105">
        <f t="shared" si="41"/>
        <v>31791.814000000002</v>
      </c>
      <c r="X183" s="105">
        <f>L183-'раздел 4'!C186</f>
        <v>0</v>
      </c>
      <c r="Y183" s="106"/>
      <c r="Z183" s="106"/>
    </row>
    <row r="184" spans="1:26" s="97" customFormat="1" ht="13.5">
      <c r="A184" s="307" t="s">
        <v>295</v>
      </c>
      <c r="B184" s="307"/>
      <c r="C184" s="307"/>
      <c r="D184" s="198"/>
      <c r="E184" s="198"/>
      <c r="F184" s="198"/>
      <c r="G184" s="198"/>
      <c r="H184" s="198"/>
      <c r="I184" s="198"/>
      <c r="J184" s="198"/>
      <c r="K184" s="170"/>
      <c r="L184" s="285"/>
      <c r="M184" s="285"/>
      <c r="N184" s="285"/>
      <c r="O184" s="285"/>
      <c r="P184" s="285"/>
      <c r="Q184" s="198"/>
      <c r="R184" s="285"/>
      <c r="S184" s="198"/>
      <c r="T184" s="198"/>
      <c r="U184" s="198"/>
      <c r="V184" s="105">
        <f t="shared" si="40"/>
        <v>0</v>
      </c>
      <c r="W184" s="105">
        <f t="shared" si="41"/>
        <v>0</v>
      </c>
      <c r="X184" s="105">
        <f>L184-'раздел 4'!C187</f>
        <v>0</v>
      </c>
      <c r="Y184" s="78" t="s">
        <v>297</v>
      </c>
      <c r="Z184" s="199"/>
    </row>
    <row r="185" spans="1:26" s="97" customFormat="1" ht="13.5">
      <c r="A185" s="87">
        <f>A182+1</f>
        <v>104</v>
      </c>
      <c r="B185" s="45" t="s">
        <v>238</v>
      </c>
      <c r="C185" s="206">
        <v>1913</v>
      </c>
      <c r="D185" s="207" t="s">
        <v>32</v>
      </c>
      <c r="E185" s="206" t="s">
        <v>29</v>
      </c>
      <c r="F185" s="206">
        <v>2</v>
      </c>
      <c r="G185" s="206">
        <v>3</v>
      </c>
      <c r="H185" s="206">
        <v>863.8</v>
      </c>
      <c r="I185" s="206">
        <v>765.1</v>
      </c>
      <c r="J185" s="206">
        <v>288.56</v>
      </c>
      <c r="K185" s="99">
        <v>36</v>
      </c>
      <c r="L185" s="96">
        <f>'раздел 4'!C189</f>
        <v>203324.41</v>
      </c>
      <c r="M185" s="96"/>
      <c r="N185" s="96">
        <v>121994.65</v>
      </c>
      <c r="O185" s="96">
        <v>40664.88</v>
      </c>
      <c r="P185" s="96">
        <f>L185-N185-O185</f>
        <v>40664.88000000001</v>
      </c>
      <c r="Q185" s="95">
        <f>L185/H185</f>
        <v>235.38366520027785</v>
      </c>
      <c r="R185" s="96">
        <v>42000</v>
      </c>
      <c r="S185" s="126" t="s">
        <v>401</v>
      </c>
      <c r="T185" s="101" t="s">
        <v>318</v>
      </c>
      <c r="U185" s="107"/>
      <c r="V185" s="105">
        <f t="shared" si="40"/>
        <v>121994.646</v>
      </c>
      <c r="W185" s="105">
        <f t="shared" si="41"/>
        <v>40664.882000000005</v>
      </c>
      <c r="X185" s="105">
        <f>L185-'раздел 4'!C189</f>
        <v>0</v>
      </c>
      <c r="Y185" s="107"/>
      <c r="Z185" s="107"/>
    </row>
    <row r="186" spans="1:26" s="97" customFormat="1" ht="13.5">
      <c r="A186" s="87">
        <f>A185+1</f>
        <v>105</v>
      </c>
      <c r="B186" s="45" t="s">
        <v>239</v>
      </c>
      <c r="C186" s="104">
        <v>1913</v>
      </c>
      <c r="D186" s="207" t="s">
        <v>32</v>
      </c>
      <c r="E186" s="206" t="s">
        <v>29</v>
      </c>
      <c r="F186" s="104">
        <v>3</v>
      </c>
      <c r="G186" s="104">
        <v>2</v>
      </c>
      <c r="H186" s="104">
        <v>1049.1</v>
      </c>
      <c r="I186" s="104">
        <v>961.5</v>
      </c>
      <c r="J186" s="104">
        <v>44.7</v>
      </c>
      <c r="K186" s="164">
        <v>46</v>
      </c>
      <c r="L186" s="96">
        <f>'раздел 4'!C190</f>
        <v>225309.44</v>
      </c>
      <c r="M186" s="96"/>
      <c r="N186" s="96">
        <v>135185.66</v>
      </c>
      <c r="O186" s="96">
        <v>45061.89</v>
      </c>
      <c r="P186" s="96">
        <f aca="true" t="shared" si="58" ref="P186:P194">L186-N186-O186</f>
        <v>45061.89</v>
      </c>
      <c r="Q186" s="95">
        <f aca="true" t="shared" si="59" ref="Q186:Q195">L186/H186</f>
        <v>214.76450290725387</v>
      </c>
      <c r="R186" s="96">
        <v>42000</v>
      </c>
      <c r="S186" s="126" t="s">
        <v>401</v>
      </c>
      <c r="T186" s="101" t="s">
        <v>318</v>
      </c>
      <c r="U186" s="107"/>
      <c r="V186" s="105">
        <f t="shared" si="40"/>
        <v>135185.664</v>
      </c>
      <c r="W186" s="105">
        <f t="shared" si="41"/>
        <v>45061.888000000006</v>
      </c>
      <c r="X186" s="105">
        <f>L186-'раздел 4'!C190</f>
        <v>0</v>
      </c>
      <c r="Y186" s="107"/>
      <c r="Z186" s="106"/>
    </row>
    <row r="187" spans="1:26" s="97" customFormat="1" ht="13.5">
      <c r="A187" s="87">
        <f aca="true" t="shared" si="60" ref="A187:A194">A186+1</f>
        <v>106</v>
      </c>
      <c r="B187" s="45" t="s">
        <v>240</v>
      </c>
      <c r="C187" s="104">
        <v>1939</v>
      </c>
      <c r="D187" s="207" t="s">
        <v>32</v>
      </c>
      <c r="E187" s="206" t="s">
        <v>29</v>
      </c>
      <c r="F187" s="104">
        <v>4</v>
      </c>
      <c r="G187" s="104">
        <v>3</v>
      </c>
      <c r="H187" s="104">
        <v>2339.3</v>
      </c>
      <c r="I187" s="104">
        <v>2144.9</v>
      </c>
      <c r="J187" s="104">
        <v>11319.27</v>
      </c>
      <c r="K187" s="164">
        <v>107</v>
      </c>
      <c r="L187" s="96">
        <f>'раздел 4'!C191</f>
        <v>337229</v>
      </c>
      <c r="M187" s="96"/>
      <c r="N187" s="96">
        <v>202337.4</v>
      </c>
      <c r="O187" s="96">
        <v>67445.8</v>
      </c>
      <c r="P187" s="96">
        <f t="shared" si="58"/>
        <v>67445.8</v>
      </c>
      <c r="Q187" s="95">
        <f t="shared" si="59"/>
        <v>144.15808147736502</v>
      </c>
      <c r="R187" s="96">
        <v>42000</v>
      </c>
      <c r="S187" s="126" t="s">
        <v>401</v>
      </c>
      <c r="T187" s="101" t="s">
        <v>318</v>
      </c>
      <c r="U187" s="107"/>
      <c r="V187" s="105">
        <f t="shared" si="40"/>
        <v>202337.4</v>
      </c>
      <c r="W187" s="105">
        <f t="shared" si="41"/>
        <v>67445.8</v>
      </c>
      <c r="X187" s="105">
        <f>L187-'раздел 4'!C191</f>
        <v>0</v>
      </c>
      <c r="Y187" s="107"/>
      <c r="Z187" s="106"/>
    </row>
    <row r="188" spans="1:26" s="97" customFormat="1" ht="13.5">
      <c r="A188" s="87">
        <f t="shared" si="60"/>
        <v>107</v>
      </c>
      <c r="B188" s="45" t="s">
        <v>241</v>
      </c>
      <c r="C188" s="104">
        <v>1960</v>
      </c>
      <c r="D188" s="207" t="s">
        <v>32</v>
      </c>
      <c r="E188" s="206" t="s">
        <v>29</v>
      </c>
      <c r="F188" s="104">
        <v>2</v>
      </c>
      <c r="G188" s="104">
        <v>2</v>
      </c>
      <c r="H188" s="104">
        <v>679.8</v>
      </c>
      <c r="I188" s="104">
        <v>632</v>
      </c>
      <c r="J188" s="104">
        <v>0</v>
      </c>
      <c r="K188" s="164">
        <v>26</v>
      </c>
      <c r="L188" s="96">
        <f>'раздел 4'!C192</f>
        <v>179677.9</v>
      </c>
      <c r="M188" s="96"/>
      <c r="N188" s="96">
        <v>107806.74</v>
      </c>
      <c r="O188" s="96">
        <v>35935.58</v>
      </c>
      <c r="P188" s="96">
        <f t="shared" si="58"/>
        <v>35935.57999999999</v>
      </c>
      <c r="Q188" s="95">
        <f t="shared" si="59"/>
        <v>264.30994410120627</v>
      </c>
      <c r="R188" s="96">
        <v>42000</v>
      </c>
      <c r="S188" s="126" t="s">
        <v>401</v>
      </c>
      <c r="T188" s="101" t="s">
        <v>318</v>
      </c>
      <c r="U188" s="107"/>
      <c r="V188" s="105">
        <f t="shared" si="40"/>
        <v>107806.73999999999</v>
      </c>
      <c r="W188" s="105">
        <f t="shared" si="41"/>
        <v>35935.58</v>
      </c>
      <c r="X188" s="105">
        <f>L188-'раздел 4'!C192</f>
        <v>0</v>
      </c>
      <c r="Y188" s="107"/>
      <c r="Z188" s="106"/>
    </row>
    <row r="189" spans="1:26" s="97" customFormat="1" ht="13.5">
      <c r="A189" s="87">
        <f t="shared" si="60"/>
        <v>108</v>
      </c>
      <c r="B189" s="45" t="s">
        <v>400</v>
      </c>
      <c r="C189" s="206">
        <v>1983</v>
      </c>
      <c r="D189" s="207" t="s">
        <v>32</v>
      </c>
      <c r="E189" s="206" t="s">
        <v>242</v>
      </c>
      <c r="F189" s="206">
        <v>5</v>
      </c>
      <c r="G189" s="206">
        <v>12</v>
      </c>
      <c r="H189" s="206">
        <v>13133.6</v>
      </c>
      <c r="I189" s="206">
        <v>9959.3</v>
      </c>
      <c r="J189" s="206">
        <v>8788</v>
      </c>
      <c r="K189" s="99">
        <v>398</v>
      </c>
      <c r="L189" s="96">
        <f>'раздел 4'!C193</f>
        <v>825877.37</v>
      </c>
      <c r="M189" s="96"/>
      <c r="N189" s="96">
        <v>495526.43</v>
      </c>
      <c r="O189" s="96">
        <v>165175.47</v>
      </c>
      <c r="P189" s="96">
        <f t="shared" si="58"/>
        <v>165175.47</v>
      </c>
      <c r="Q189" s="95">
        <f t="shared" si="59"/>
        <v>62.88278689772796</v>
      </c>
      <c r="R189" s="96">
        <v>42000</v>
      </c>
      <c r="S189" s="126" t="s">
        <v>401</v>
      </c>
      <c r="T189" s="101" t="s">
        <v>358</v>
      </c>
      <c r="U189" s="107"/>
      <c r="V189" s="105">
        <f t="shared" si="40"/>
        <v>495526.42199999996</v>
      </c>
      <c r="W189" s="105">
        <f t="shared" si="41"/>
        <v>165175.47400000002</v>
      </c>
      <c r="X189" s="105">
        <f>L189-'раздел 4'!C193</f>
        <v>0</v>
      </c>
      <c r="Y189" s="107"/>
      <c r="Z189" s="106"/>
    </row>
    <row r="190" spans="1:26" s="97" customFormat="1" ht="13.5">
      <c r="A190" s="87">
        <f t="shared" si="60"/>
        <v>109</v>
      </c>
      <c r="B190" s="45" t="s">
        <v>399</v>
      </c>
      <c r="C190" s="104">
        <v>1917</v>
      </c>
      <c r="D190" s="207" t="s">
        <v>32</v>
      </c>
      <c r="E190" s="206" t="s">
        <v>29</v>
      </c>
      <c r="F190" s="104">
        <v>2</v>
      </c>
      <c r="G190" s="104">
        <v>1</v>
      </c>
      <c r="H190" s="104">
        <v>281.2</v>
      </c>
      <c r="I190" s="104">
        <v>259.7</v>
      </c>
      <c r="J190" s="104">
        <v>0</v>
      </c>
      <c r="K190" s="99">
        <v>7</v>
      </c>
      <c r="L190" s="96">
        <f>'раздел 4'!C194</f>
        <v>162916.74</v>
      </c>
      <c r="M190" s="96"/>
      <c r="N190" s="96">
        <v>97750.04</v>
      </c>
      <c r="O190" s="96">
        <v>32583.35</v>
      </c>
      <c r="P190" s="96">
        <f t="shared" si="58"/>
        <v>32583.35</v>
      </c>
      <c r="Q190" s="95">
        <f t="shared" si="59"/>
        <v>579.3625177809388</v>
      </c>
      <c r="R190" s="96">
        <v>42000</v>
      </c>
      <c r="S190" s="126" t="s">
        <v>401</v>
      </c>
      <c r="T190" s="101" t="s">
        <v>318</v>
      </c>
      <c r="U190" s="107"/>
      <c r="V190" s="105">
        <f t="shared" si="40"/>
        <v>97750.044</v>
      </c>
      <c r="W190" s="105">
        <f t="shared" si="41"/>
        <v>32583.347999999998</v>
      </c>
      <c r="X190" s="105">
        <f>L190-'раздел 4'!C194</f>
        <v>0</v>
      </c>
      <c r="Y190" s="107"/>
      <c r="Z190" s="106"/>
    </row>
    <row r="191" spans="1:26" s="97" customFormat="1" ht="13.5">
      <c r="A191" s="87">
        <f t="shared" si="60"/>
        <v>110</v>
      </c>
      <c r="B191" s="45" t="s">
        <v>243</v>
      </c>
      <c r="C191" s="104">
        <v>1978</v>
      </c>
      <c r="D191" s="207" t="s">
        <v>32</v>
      </c>
      <c r="E191" s="206" t="s">
        <v>29</v>
      </c>
      <c r="F191" s="206">
        <v>3</v>
      </c>
      <c r="G191" s="206">
        <v>3</v>
      </c>
      <c r="H191" s="206">
        <v>1646.4</v>
      </c>
      <c r="I191" s="206">
        <v>1463.8</v>
      </c>
      <c r="J191" s="206">
        <v>1175.35</v>
      </c>
      <c r="K191" s="99">
        <v>59</v>
      </c>
      <c r="L191" s="96">
        <f>'раздел 4'!C195</f>
        <v>210394.24</v>
      </c>
      <c r="M191" s="96"/>
      <c r="N191" s="96">
        <v>126236.54</v>
      </c>
      <c r="O191" s="96">
        <v>42078.85</v>
      </c>
      <c r="P191" s="96">
        <f t="shared" si="58"/>
        <v>42078.85</v>
      </c>
      <c r="Q191" s="95">
        <f t="shared" si="59"/>
        <v>127.79047619047618</v>
      </c>
      <c r="R191" s="96">
        <v>42000</v>
      </c>
      <c r="S191" s="126" t="s">
        <v>401</v>
      </c>
      <c r="T191" s="101" t="s">
        <v>318</v>
      </c>
      <c r="U191" s="107"/>
      <c r="V191" s="105">
        <f t="shared" si="40"/>
        <v>126236.544</v>
      </c>
      <c r="W191" s="105">
        <f t="shared" si="41"/>
        <v>42078.848</v>
      </c>
      <c r="X191" s="105">
        <f>L191-'раздел 4'!C195</f>
        <v>0</v>
      </c>
      <c r="Y191" s="107"/>
      <c r="Z191" s="106"/>
    </row>
    <row r="192" spans="1:26" s="97" customFormat="1" ht="13.5">
      <c r="A192" s="87">
        <f t="shared" si="60"/>
        <v>111</v>
      </c>
      <c r="B192" s="45" t="s">
        <v>374</v>
      </c>
      <c r="C192" s="206">
        <v>1991</v>
      </c>
      <c r="D192" s="207" t="s">
        <v>32</v>
      </c>
      <c r="E192" s="206" t="s">
        <v>242</v>
      </c>
      <c r="F192" s="206">
        <v>3</v>
      </c>
      <c r="G192" s="206">
        <v>2</v>
      </c>
      <c r="H192" s="206">
        <v>1658.9</v>
      </c>
      <c r="I192" s="206">
        <v>1469.3</v>
      </c>
      <c r="J192" s="206">
        <v>1323</v>
      </c>
      <c r="K192" s="99">
        <v>70</v>
      </c>
      <c r="L192" s="96">
        <f>'раздел 4'!C196</f>
        <v>227238.61</v>
      </c>
      <c r="M192" s="251"/>
      <c r="N192" s="96">
        <v>136343.17</v>
      </c>
      <c r="O192" s="96">
        <v>45447.72</v>
      </c>
      <c r="P192" s="96">
        <f t="shared" si="58"/>
        <v>45447.71999999997</v>
      </c>
      <c r="Q192" s="95">
        <f t="shared" si="59"/>
        <v>136.9814997890168</v>
      </c>
      <c r="R192" s="96">
        <v>42000</v>
      </c>
      <c r="S192" s="126" t="s">
        <v>401</v>
      </c>
      <c r="T192" s="101" t="s">
        <v>318</v>
      </c>
      <c r="U192" s="107"/>
      <c r="V192" s="105">
        <f t="shared" si="40"/>
        <v>136343.166</v>
      </c>
      <c r="W192" s="105">
        <f t="shared" si="41"/>
        <v>45447.722</v>
      </c>
      <c r="X192" s="105">
        <f>L192-'раздел 4'!C196</f>
        <v>0</v>
      </c>
      <c r="Y192" s="107"/>
      <c r="Z192" s="106"/>
    </row>
    <row r="193" spans="1:26" s="97" customFormat="1" ht="14.25">
      <c r="A193" s="87">
        <f t="shared" si="60"/>
        <v>112</v>
      </c>
      <c r="B193" s="46" t="s">
        <v>375</v>
      </c>
      <c r="C193" s="207">
        <v>1981</v>
      </c>
      <c r="D193" s="207" t="s">
        <v>32</v>
      </c>
      <c r="E193" s="206" t="s">
        <v>244</v>
      </c>
      <c r="F193" s="206">
        <v>5</v>
      </c>
      <c r="G193" s="206">
        <v>6</v>
      </c>
      <c r="H193" s="206">
        <v>6353.6</v>
      </c>
      <c r="I193" s="206">
        <v>6353.6</v>
      </c>
      <c r="J193" s="206">
        <v>4799.3</v>
      </c>
      <c r="K193" s="87">
        <v>155</v>
      </c>
      <c r="L193" s="96">
        <f>'раздел 4'!C197</f>
        <v>408379.98</v>
      </c>
      <c r="M193" s="286"/>
      <c r="N193" s="96">
        <v>245027.98</v>
      </c>
      <c r="O193" s="96">
        <v>81676</v>
      </c>
      <c r="P193" s="96">
        <f t="shared" si="58"/>
        <v>81675.99999999997</v>
      </c>
      <c r="Q193" s="95">
        <f t="shared" si="59"/>
        <v>64.27536829513976</v>
      </c>
      <c r="R193" s="96">
        <v>42000</v>
      </c>
      <c r="S193" s="126" t="s">
        <v>401</v>
      </c>
      <c r="T193" s="101" t="s">
        <v>318</v>
      </c>
      <c r="U193" s="107"/>
      <c r="V193" s="105">
        <f t="shared" si="40"/>
        <v>245027.98799999998</v>
      </c>
      <c r="W193" s="105">
        <f t="shared" si="41"/>
        <v>81675.996</v>
      </c>
      <c r="X193" s="105">
        <f>L193-'раздел 4'!C197</f>
        <v>0</v>
      </c>
      <c r="Y193" s="107"/>
      <c r="Z193" s="106"/>
    </row>
    <row r="194" spans="1:26" s="97" customFormat="1" ht="14.25">
      <c r="A194" s="87">
        <f t="shared" si="60"/>
        <v>113</v>
      </c>
      <c r="B194" s="45" t="s">
        <v>245</v>
      </c>
      <c r="C194" s="104">
        <v>1916</v>
      </c>
      <c r="D194" s="207" t="s">
        <v>32</v>
      </c>
      <c r="E194" s="206" t="s">
        <v>246</v>
      </c>
      <c r="F194" s="104">
        <v>3</v>
      </c>
      <c r="G194" s="104">
        <v>3</v>
      </c>
      <c r="H194" s="104">
        <v>1208.3</v>
      </c>
      <c r="I194" s="104">
        <v>1208.3</v>
      </c>
      <c r="J194" s="104">
        <v>1072.7</v>
      </c>
      <c r="K194" s="164">
        <v>46</v>
      </c>
      <c r="L194" s="96">
        <f>'раздел 4'!C198</f>
        <v>230668.97</v>
      </c>
      <c r="M194" s="286"/>
      <c r="N194" s="96">
        <v>138401.39</v>
      </c>
      <c r="O194" s="96">
        <v>46133.79</v>
      </c>
      <c r="P194" s="96">
        <f t="shared" si="58"/>
        <v>46133.789999999986</v>
      </c>
      <c r="Q194" s="95">
        <f t="shared" si="59"/>
        <v>190.9037242406687</v>
      </c>
      <c r="R194" s="96">
        <v>42000</v>
      </c>
      <c r="S194" s="126" t="s">
        <v>401</v>
      </c>
      <c r="T194" s="101" t="s">
        <v>318</v>
      </c>
      <c r="U194" s="44">
        <f>L194-N194-O194-P194</f>
        <v>0</v>
      </c>
      <c r="V194" s="105">
        <f t="shared" si="40"/>
        <v>138401.38199999998</v>
      </c>
      <c r="W194" s="105">
        <f t="shared" si="41"/>
        <v>46133.794</v>
      </c>
      <c r="X194" s="105">
        <f>L194-'раздел 4'!C198</f>
        <v>0</v>
      </c>
      <c r="Y194" s="106"/>
      <c r="Z194" s="106"/>
    </row>
    <row r="195" spans="1:26" s="97" customFormat="1" ht="13.5">
      <c r="A195" s="357" t="s">
        <v>64</v>
      </c>
      <c r="B195" s="357"/>
      <c r="C195" s="32" t="s">
        <v>37</v>
      </c>
      <c r="D195" s="32" t="s">
        <v>37</v>
      </c>
      <c r="E195" s="32" t="s">
        <v>37</v>
      </c>
      <c r="F195" s="32" t="s">
        <v>37</v>
      </c>
      <c r="G195" s="32" t="s">
        <v>37</v>
      </c>
      <c r="H195" s="98">
        <f aca="true" t="shared" si="61" ref="H195:P195">SUM(H185:H194)</f>
        <v>29214.000000000004</v>
      </c>
      <c r="I195" s="98">
        <f t="shared" si="61"/>
        <v>25217.499999999996</v>
      </c>
      <c r="J195" s="98">
        <f t="shared" si="61"/>
        <v>28810.879999999997</v>
      </c>
      <c r="K195" s="87">
        <f t="shared" si="61"/>
        <v>950</v>
      </c>
      <c r="L195" s="234">
        <f t="shared" si="61"/>
        <v>3011016.66</v>
      </c>
      <c r="M195" s="234">
        <f t="shared" si="61"/>
        <v>0</v>
      </c>
      <c r="N195" s="234">
        <f t="shared" si="61"/>
        <v>1806610</v>
      </c>
      <c r="O195" s="234">
        <f t="shared" si="61"/>
        <v>602203.33</v>
      </c>
      <c r="P195" s="234">
        <f t="shared" si="61"/>
        <v>602203.33</v>
      </c>
      <c r="Q195" s="95">
        <f t="shared" si="59"/>
        <v>103.06759293489422</v>
      </c>
      <c r="R195" s="276"/>
      <c r="S195" s="106"/>
      <c r="T195" s="106"/>
      <c r="U195" s="198"/>
      <c r="V195" s="105">
        <f t="shared" si="40"/>
        <v>1806609.996</v>
      </c>
      <c r="W195" s="105">
        <f t="shared" si="41"/>
        <v>602203.332</v>
      </c>
      <c r="X195" s="105">
        <f>L195-'раздел 4'!C199</f>
        <v>0</v>
      </c>
      <c r="Y195" s="198"/>
      <c r="Z195" s="199"/>
    </row>
    <row r="196" spans="1:25" s="97" customFormat="1" ht="13.5">
      <c r="A196" s="307" t="s">
        <v>94</v>
      </c>
      <c r="B196" s="307"/>
      <c r="C196" s="307"/>
      <c r="D196" s="206"/>
      <c r="E196" s="206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195"/>
      <c r="V196" s="105">
        <f t="shared" si="40"/>
        <v>0</v>
      </c>
      <c r="W196" s="105">
        <f t="shared" si="41"/>
        <v>0</v>
      </c>
      <c r="X196" s="105">
        <f>L196-'раздел 4'!C200</f>
        <v>0</v>
      </c>
      <c r="Y196" s="78"/>
    </row>
    <row r="197" spans="1:24" s="97" customFormat="1" ht="13.5">
      <c r="A197" s="87">
        <f>A194+1</f>
        <v>114</v>
      </c>
      <c r="B197" s="103" t="s">
        <v>129</v>
      </c>
      <c r="C197" s="54">
        <v>1978</v>
      </c>
      <c r="D197" s="54"/>
      <c r="E197" s="54" t="s">
        <v>28</v>
      </c>
      <c r="F197" s="54">
        <v>5</v>
      </c>
      <c r="G197" s="54">
        <v>4</v>
      </c>
      <c r="H197" s="54">
        <v>3968.5</v>
      </c>
      <c r="I197" s="54">
        <v>3243.5</v>
      </c>
      <c r="J197" s="54">
        <v>2392.4</v>
      </c>
      <c r="K197" s="158">
        <v>173</v>
      </c>
      <c r="L197" s="51">
        <f>'раздел 4'!C201</f>
        <v>116386.49</v>
      </c>
      <c r="M197" s="96">
        <v>0</v>
      </c>
      <c r="N197" s="96">
        <v>69831.89</v>
      </c>
      <c r="O197" s="96">
        <v>23277.3</v>
      </c>
      <c r="P197" s="96">
        <f>L197-N197-O197</f>
        <v>23277.300000000007</v>
      </c>
      <c r="Q197" s="95">
        <f>L197/H197</f>
        <v>29.32757717021545</v>
      </c>
      <c r="R197" s="96">
        <v>42000</v>
      </c>
      <c r="S197" s="126" t="s">
        <v>401</v>
      </c>
      <c r="T197" s="101" t="s">
        <v>318</v>
      </c>
      <c r="U197" s="86"/>
      <c r="V197" s="105">
        <f t="shared" si="40"/>
        <v>69831.894</v>
      </c>
      <c r="W197" s="105">
        <f t="shared" si="41"/>
        <v>23277.298000000003</v>
      </c>
      <c r="X197" s="105">
        <f>L197-'раздел 4'!C201</f>
        <v>0</v>
      </c>
    </row>
    <row r="198" spans="1:24" s="97" customFormat="1" ht="13.5">
      <c r="A198" s="357" t="s">
        <v>64</v>
      </c>
      <c r="B198" s="357"/>
      <c r="C198" s="32" t="s">
        <v>37</v>
      </c>
      <c r="D198" s="32" t="s">
        <v>37</v>
      </c>
      <c r="E198" s="32" t="s">
        <v>37</v>
      </c>
      <c r="F198" s="32" t="s">
        <v>37</v>
      </c>
      <c r="G198" s="32" t="s">
        <v>37</v>
      </c>
      <c r="H198" s="207">
        <f aca="true" t="shared" si="62" ref="H198:P198">SUM(H197:H197)</f>
        <v>3968.5</v>
      </c>
      <c r="I198" s="207">
        <f t="shared" si="62"/>
        <v>3243.5</v>
      </c>
      <c r="J198" s="207">
        <f t="shared" si="62"/>
        <v>2392.4</v>
      </c>
      <c r="K198" s="87">
        <f t="shared" si="62"/>
        <v>173</v>
      </c>
      <c r="L198" s="234">
        <f>SUM(L197:L197)</f>
        <v>116386.49</v>
      </c>
      <c r="M198" s="234">
        <f t="shared" si="62"/>
        <v>0</v>
      </c>
      <c r="N198" s="234">
        <f t="shared" si="62"/>
        <v>69831.89</v>
      </c>
      <c r="O198" s="234">
        <f t="shared" si="62"/>
        <v>23277.3</v>
      </c>
      <c r="P198" s="234">
        <f t="shared" si="62"/>
        <v>23277.300000000007</v>
      </c>
      <c r="Q198" s="95">
        <f>L198/H198</f>
        <v>29.32757717021545</v>
      </c>
      <c r="R198" s="96">
        <v>42000</v>
      </c>
      <c r="S198" s="206"/>
      <c r="T198" s="206"/>
      <c r="U198" s="105">
        <f>L198-N198-O198-P198</f>
        <v>0</v>
      </c>
      <c r="V198" s="105">
        <f t="shared" si="40"/>
        <v>69831.894</v>
      </c>
      <c r="W198" s="105">
        <f t="shared" si="41"/>
        <v>23277.298000000003</v>
      </c>
      <c r="X198" s="105">
        <f>L198-'раздел 4'!C202</f>
        <v>0</v>
      </c>
    </row>
    <row r="199" spans="1:25" s="97" customFormat="1" ht="13.5">
      <c r="A199" s="307" t="s">
        <v>274</v>
      </c>
      <c r="B199" s="307"/>
      <c r="C199" s="307"/>
      <c r="D199" s="206"/>
      <c r="E199" s="206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195"/>
      <c r="V199" s="105">
        <f t="shared" si="40"/>
        <v>0</v>
      </c>
      <c r="W199" s="105">
        <f t="shared" si="41"/>
        <v>0</v>
      </c>
      <c r="X199" s="105">
        <f>L199-'раздел 4'!C203</f>
        <v>0</v>
      </c>
      <c r="Y199" s="97" t="s">
        <v>247</v>
      </c>
    </row>
    <row r="200" spans="1:24" s="97" customFormat="1" ht="13.5">
      <c r="A200" s="87">
        <f>A197+1</f>
        <v>115</v>
      </c>
      <c r="B200" s="65" t="s">
        <v>113</v>
      </c>
      <c r="C200" s="141">
        <v>1981</v>
      </c>
      <c r="D200" s="141"/>
      <c r="E200" s="141" t="s">
        <v>33</v>
      </c>
      <c r="F200" s="141">
        <v>3</v>
      </c>
      <c r="G200" s="141">
        <v>3</v>
      </c>
      <c r="H200" s="141">
        <v>2110</v>
      </c>
      <c r="I200" s="141">
        <v>1447.2</v>
      </c>
      <c r="J200" s="141">
        <v>872.6</v>
      </c>
      <c r="K200" s="169">
        <v>66</v>
      </c>
      <c r="L200" s="282">
        <f>'раздел 4'!C204</f>
        <v>851840.57</v>
      </c>
      <c r="M200" s="96">
        <v>0</v>
      </c>
      <c r="N200" s="96">
        <v>511104.35</v>
      </c>
      <c r="O200" s="96">
        <v>170368.11</v>
      </c>
      <c r="P200" s="96">
        <f>L200-N200-O200</f>
        <v>170368.11</v>
      </c>
      <c r="Q200" s="95">
        <f>L200/H200</f>
        <v>403.71590995260664</v>
      </c>
      <c r="R200" s="96">
        <v>42000</v>
      </c>
      <c r="S200" s="126" t="s">
        <v>401</v>
      </c>
      <c r="T200" s="101" t="s">
        <v>318</v>
      </c>
      <c r="U200" s="86"/>
      <c r="V200" s="105">
        <f t="shared" si="40"/>
        <v>511104.34199999995</v>
      </c>
      <c r="W200" s="105">
        <f t="shared" si="41"/>
        <v>170368.114</v>
      </c>
      <c r="X200" s="105">
        <f>L200-'раздел 4'!C204</f>
        <v>0</v>
      </c>
    </row>
    <row r="201" spans="1:24" s="97" customFormat="1" ht="13.5">
      <c r="A201" s="99">
        <f>A200+1</f>
        <v>116</v>
      </c>
      <c r="B201" s="65" t="s">
        <v>114</v>
      </c>
      <c r="C201" s="141">
        <v>1983</v>
      </c>
      <c r="D201" s="141"/>
      <c r="E201" s="141" t="s">
        <v>33</v>
      </c>
      <c r="F201" s="141">
        <v>4</v>
      </c>
      <c r="G201" s="141">
        <v>1</v>
      </c>
      <c r="H201" s="141">
        <v>702.7</v>
      </c>
      <c r="I201" s="141">
        <v>609.9</v>
      </c>
      <c r="J201" s="141">
        <v>359.1</v>
      </c>
      <c r="K201" s="169">
        <v>18</v>
      </c>
      <c r="L201" s="282">
        <f>'раздел 4'!C205</f>
        <v>195048.68</v>
      </c>
      <c r="M201" s="96">
        <v>0</v>
      </c>
      <c r="N201" s="96">
        <v>117029.22</v>
      </c>
      <c r="O201" s="96">
        <v>39009.73</v>
      </c>
      <c r="P201" s="96">
        <f>L201-N201-O201</f>
        <v>39009.72999999999</v>
      </c>
      <c r="Q201" s="95">
        <f>L201/H201</f>
        <v>277.5703429628575</v>
      </c>
      <c r="R201" s="96">
        <v>42000</v>
      </c>
      <c r="S201" s="126" t="s">
        <v>401</v>
      </c>
      <c r="T201" s="101" t="s">
        <v>318</v>
      </c>
      <c r="U201" s="86"/>
      <c r="V201" s="105">
        <f t="shared" si="40"/>
        <v>117029.208</v>
      </c>
      <c r="W201" s="105">
        <f t="shared" si="41"/>
        <v>39009.736</v>
      </c>
      <c r="X201" s="105">
        <f>L201-'раздел 4'!C205</f>
        <v>0</v>
      </c>
    </row>
    <row r="202" spans="1:24" s="97" customFormat="1" ht="13.5">
      <c r="A202" s="99">
        <f>A201+1</f>
        <v>117</v>
      </c>
      <c r="B202" s="65" t="s">
        <v>115</v>
      </c>
      <c r="C202" s="141">
        <v>1981</v>
      </c>
      <c r="D202" s="141"/>
      <c r="E202" s="141" t="s">
        <v>33</v>
      </c>
      <c r="F202" s="141">
        <v>3</v>
      </c>
      <c r="G202" s="141">
        <v>3</v>
      </c>
      <c r="H202" s="141">
        <v>2102.1</v>
      </c>
      <c r="I202" s="141">
        <v>1441.1</v>
      </c>
      <c r="J202" s="141">
        <v>869.9</v>
      </c>
      <c r="K202" s="169">
        <v>69</v>
      </c>
      <c r="L202" s="282">
        <f>'раздел 4'!C206</f>
        <v>223559.84</v>
      </c>
      <c r="M202" s="96">
        <v>0</v>
      </c>
      <c r="N202" s="96">
        <v>134135.9</v>
      </c>
      <c r="O202" s="96">
        <v>44711.97</v>
      </c>
      <c r="P202" s="96">
        <f>L202-N202-O202</f>
        <v>44711.97</v>
      </c>
      <c r="Q202" s="95">
        <f>L202/H202</f>
        <v>106.35071595071595</v>
      </c>
      <c r="R202" s="96">
        <v>42000</v>
      </c>
      <c r="S202" s="126" t="s">
        <v>401</v>
      </c>
      <c r="T202" s="101" t="s">
        <v>318</v>
      </c>
      <c r="U202" s="86"/>
      <c r="V202" s="105">
        <f t="shared" si="40"/>
        <v>134135.90399999998</v>
      </c>
      <c r="W202" s="105">
        <f t="shared" si="41"/>
        <v>44711.968</v>
      </c>
      <c r="X202" s="105">
        <f>L202-'раздел 4'!C206</f>
        <v>0</v>
      </c>
    </row>
    <row r="203" spans="1:24" s="97" customFormat="1" ht="13.5">
      <c r="A203" s="99">
        <f>A202+1</f>
        <v>118</v>
      </c>
      <c r="B203" s="65" t="s">
        <v>116</v>
      </c>
      <c r="C203" s="141">
        <v>1967</v>
      </c>
      <c r="D203" s="141"/>
      <c r="E203" s="141" t="s">
        <v>33</v>
      </c>
      <c r="F203" s="141">
        <v>3</v>
      </c>
      <c r="G203" s="141">
        <v>3</v>
      </c>
      <c r="H203" s="141">
        <v>1282.7</v>
      </c>
      <c r="I203" s="141">
        <v>1243.2</v>
      </c>
      <c r="J203" s="141">
        <v>842.3</v>
      </c>
      <c r="K203" s="169">
        <v>64</v>
      </c>
      <c r="L203" s="282">
        <f>'раздел 4'!C207</f>
        <v>713596.46</v>
      </c>
      <c r="M203" s="96">
        <v>0</v>
      </c>
      <c r="N203" s="96">
        <v>428157.88</v>
      </c>
      <c r="O203" s="96">
        <v>142719.29</v>
      </c>
      <c r="P203" s="96">
        <f>L203-N203-O203</f>
        <v>142719.28999999995</v>
      </c>
      <c r="Q203" s="95">
        <f>L203/H203</f>
        <v>556.323738988072</v>
      </c>
      <c r="R203" s="96">
        <v>42000</v>
      </c>
      <c r="S203" s="126" t="s">
        <v>401</v>
      </c>
      <c r="T203" s="101" t="s">
        <v>318</v>
      </c>
      <c r="U203" s="86"/>
      <c r="V203" s="105">
        <f t="shared" si="40"/>
        <v>428157.876</v>
      </c>
      <c r="W203" s="105">
        <f t="shared" si="41"/>
        <v>142719.292</v>
      </c>
      <c r="X203" s="105">
        <f>L203-'раздел 4'!C207</f>
        <v>0</v>
      </c>
    </row>
    <row r="204" spans="1:24" s="97" customFormat="1" ht="13.5">
      <c r="A204" s="357" t="s">
        <v>64</v>
      </c>
      <c r="B204" s="358"/>
      <c r="C204" s="142" t="s">
        <v>37</v>
      </c>
      <c r="D204" s="142" t="s">
        <v>37</v>
      </c>
      <c r="E204" s="142" t="s">
        <v>37</v>
      </c>
      <c r="F204" s="142" t="s">
        <v>37</v>
      </c>
      <c r="G204" s="142" t="s">
        <v>37</v>
      </c>
      <c r="H204" s="121">
        <f aca="true" t="shared" si="63" ref="H204:P204">SUM(H200:H203)</f>
        <v>6197.499999999999</v>
      </c>
      <c r="I204" s="121">
        <f t="shared" si="63"/>
        <v>4741.4</v>
      </c>
      <c r="J204" s="121">
        <f t="shared" si="63"/>
        <v>2943.8999999999996</v>
      </c>
      <c r="K204" s="36">
        <f t="shared" si="63"/>
        <v>217</v>
      </c>
      <c r="L204" s="284">
        <f t="shared" si="63"/>
        <v>1984045.55</v>
      </c>
      <c r="M204" s="284">
        <f t="shared" si="63"/>
        <v>0</v>
      </c>
      <c r="N204" s="96">
        <f t="shared" si="63"/>
        <v>1190427.35</v>
      </c>
      <c r="O204" s="96">
        <f t="shared" si="63"/>
        <v>396809.1</v>
      </c>
      <c r="P204" s="96">
        <f t="shared" si="63"/>
        <v>396809.0999999999</v>
      </c>
      <c r="Q204" s="95">
        <f>L204/H204</f>
        <v>320.13643404598633</v>
      </c>
      <c r="R204" s="96"/>
      <c r="S204" s="206"/>
      <c r="T204" s="206"/>
      <c r="U204" s="105">
        <f>L204-N204-O204-P204</f>
        <v>0</v>
      </c>
      <c r="V204" s="105">
        <f t="shared" si="40"/>
        <v>1190427.33</v>
      </c>
      <c r="W204" s="105">
        <f t="shared" si="41"/>
        <v>396809.11000000004</v>
      </c>
      <c r="X204" s="105">
        <f>L204-'раздел 4'!C208</f>
        <v>0</v>
      </c>
    </row>
    <row r="205" spans="1:25" s="97" customFormat="1" ht="13.5">
      <c r="A205" s="350" t="s">
        <v>145</v>
      </c>
      <c r="B205" s="350"/>
      <c r="C205" s="350"/>
      <c r="D205" s="206"/>
      <c r="E205" s="206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195"/>
      <c r="V205" s="105">
        <f aca="true" t="shared" si="64" ref="V205:V237">L205*0.6</f>
        <v>0</v>
      </c>
      <c r="W205" s="105">
        <f aca="true" t="shared" si="65" ref="W205:W239">L205*0.2</f>
        <v>0</v>
      </c>
      <c r="X205" s="105">
        <f>L205-'раздел 4'!C209</f>
        <v>0</v>
      </c>
      <c r="Y205" s="78"/>
    </row>
    <row r="206" spans="1:25" s="97" customFormat="1" ht="13.5">
      <c r="A206" s="92">
        <f>A203+1</f>
        <v>119</v>
      </c>
      <c r="B206" s="197" t="s">
        <v>316</v>
      </c>
      <c r="C206" s="108">
        <v>1978</v>
      </c>
      <c r="D206" s="108" t="s">
        <v>37</v>
      </c>
      <c r="E206" s="108" t="s">
        <v>27</v>
      </c>
      <c r="F206" s="108">
        <v>4</v>
      </c>
      <c r="G206" s="108">
        <v>1</v>
      </c>
      <c r="H206" s="108">
        <v>968.7</v>
      </c>
      <c r="I206" s="108">
        <v>747.7</v>
      </c>
      <c r="J206" s="108">
        <v>655.9</v>
      </c>
      <c r="K206" s="159"/>
      <c r="L206" s="282">
        <f>'раздел 4'!C210</f>
        <v>362319.99</v>
      </c>
      <c r="M206" s="73"/>
      <c r="N206" s="96">
        <v>217391.99</v>
      </c>
      <c r="O206" s="96">
        <v>72464</v>
      </c>
      <c r="P206" s="96">
        <f>L206-N206-O206</f>
        <v>72464</v>
      </c>
      <c r="Q206" s="95">
        <f>L206/H206</f>
        <v>374.02703623412816</v>
      </c>
      <c r="R206" s="96">
        <v>42000</v>
      </c>
      <c r="S206" s="126" t="s">
        <v>401</v>
      </c>
      <c r="T206" s="101" t="s">
        <v>318</v>
      </c>
      <c r="U206" s="195"/>
      <c r="V206" s="105">
        <f t="shared" si="64"/>
        <v>217391.99399999998</v>
      </c>
      <c r="W206" s="105">
        <f t="shared" si="65"/>
        <v>72463.998</v>
      </c>
      <c r="X206" s="105">
        <f>L206-'раздел 4'!C210</f>
        <v>0</v>
      </c>
      <c r="Y206" s="78"/>
    </row>
    <row r="207" spans="1:25" s="97" customFormat="1" ht="13.5">
      <c r="A207" s="289">
        <f>A206+1</f>
        <v>120</v>
      </c>
      <c r="B207" s="197" t="s">
        <v>317</v>
      </c>
      <c r="C207" s="108">
        <v>1989</v>
      </c>
      <c r="D207" s="108" t="s">
        <v>37</v>
      </c>
      <c r="E207" s="108" t="s">
        <v>147</v>
      </c>
      <c r="F207" s="108">
        <v>5</v>
      </c>
      <c r="G207" s="108">
        <v>3</v>
      </c>
      <c r="H207" s="108">
        <v>5036.8</v>
      </c>
      <c r="I207" s="108">
        <v>3705.8</v>
      </c>
      <c r="J207" s="108">
        <v>2780.7</v>
      </c>
      <c r="K207" s="159"/>
      <c r="L207" s="282">
        <f>'раздел 4'!C211</f>
        <v>208447.98</v>
      </c>
      <c r="M207" s="73"/>
      <c r="N207" s="96">
        <v>125068.78</v>
      </c>
      <c r="O207" s="96">
        <v>41689.6</v>
      </c>
      <c r="P207" s="96">
        <f>L207-N207-O207</f>
        <v>41689.60000000001</v>
      </c>
      <c r="Q207" s="95">
        <f>L207/H207</f>
        <v>41.38500238246506</v>
      </c>
      <c r="R207" s="96">
        <v>42000</v>
      </c>
      <c r="S207" s="126" t="s">
        <v>401</v>
      </c>
      <c r="T207" s="101" t="s">
        <v>318</v>
      </c>
      <c r="U207" s="195"/>
      <c r="V207" s="105">
        <f t="shared" si="64"/>
        <v>125068.788</v>
      </c>
      <c r="W207" s="105">
        <f t="shared" si="65"/>
        <v>41689.596000000005</v>
      </c>
      <c r="X207" s="105">
        <f>L207-'раздел 4'!C211</f>
        <v>0</v>
      </c>
      <c r="Y207" s="78"/>
    </row>
    <row r="208" spans="1:24" s="97" customFormat="1" ht="13.5">
      <c r="A208" s="87">
        <f>A207+1</f>
        <v>121</v>
      </c>
      <c r="B208" s="197" t="s">
        <v>146</v>
      </c>
      <c r="C208" s="207">
        <v>1987</v>
      </c>
      <c r="D208" s="207" t="s">
        <v>37</v>
      </c>
      <c r="E208" s="207" t="s">
        <v>147</v>
      </c>
      <c r="F208" s="207">
        <v>3</v>
      </c>
      <c r="G208" s="207">
        <v>6</v>
      </c>
      <c r="H208" s="207">
        <v>3330</v>
      </c>
      <c r="I208" s="207">
        <v>1708</v>
      </c>
      <c r="J208" s="207">
        <v>1367.1</v>
      </c>
      <c r="K208" s="87">
        <v>151</v>
      </c>
      <c r="L208" s="282">
        <f>'раздел 4'!C212</f>
        <v>1253683.72</v>
      </c>
      <c r="M208" s="96"/>
      <c r="N208" s="96">
        <v>752210.24</v>
      </c>
      <c r="O208" s="96">
        <v>250736.74</v>
      </c>
      <c r="P208" s="96">
        <f>L208-N208-O208</f>
        <v>250736.74</v>
      </c>
      <c r="Q208" s="95">
        <f>L208/H208</f>
        <v>376.4815975975976</v>
      </c>
      <c r="R208" s="96">
        <v>42000</v>
      </c>
      <c r="S208" s="126" t="s">
        <v>401</v>
      </c>
      <c r="T208" s="101" t="s">
        <v>318</v>
      </c>
      <c r="U208" s="86"/>
      <c r="V208" s="105">
        <f t="shared" si="64"/>
        <v>752210.232</v>
      </c>
      <c r="W208" s="105">
        <f t="shared" si="65"/>
        <v>250736.744</v>
      </c>
      <c r="X208" s="105">
        <f>L208-'раздел 4'!C212</f>
        <v>0</v>
      </c>
    </row>
    <row r="209" spans="1:24" s="97" customFormat="1" ht="13.5">
      <c r="A209" s="357" t="s">
        <v>64</v>
      </c>
      <c r="B209" s="357"/>
      <c r="C209" s="32" t="s">
        <v>37</v>
      </c>
      <c r="D209" s="32" t="s">
        <v>37</v>
      </c>
      <c r="E209" s="32" t="s">
        <v>37</v>
      </c>
      <c r="F209" s="32" t="s">
        <v>37</v>
      </c>
      <c r="G209" s="32" t="s">
        <v>37</v>
      </c>
      <c r="H209" s="122">
        <f>SUM(H208:H208)</f>
        <v>3330</v>
      </c>
      <c r="I209" s="32">
        <f>SUM(I208:I208)</f>
        <v>1708</v>
      </c>
      <c r="J209" s="32">
        <f>SUM(J208:J208)</f>
        <v>1367.1</v>
      </c>
      <c r="K209" s="87">
        <f>SUM(K208:K208)</f>
        <v>151</v>
      </c>
      <c r="L209" s="234">
        <f>SUM(L206:L208)</f>
        <v>1824451.69</v>
      </c>
      <c r="M209" s="234">
        <f>SUM(M206:M208)</f>
        <v>0</v>
      </c>
      <c r="N209" s="234">
        <f>SUM(N206:N208)</f>
        <v>1094671.01</v>
      </c>
      <c r="O209" s="234">
        <f>SUM(O206:O208)</f>
        <v>364890.33999999997</v>
      </c>
      <c r="P209" s="234">
        <f>SUM(P206:P208)</f>
        <v>364890.33999999997</v>
      </c>
      <c r="Q209" s="95">
        <f>L209/H209</f>
        <v>547.8833903903903</v>
      </c>
      <c r="R209" s="96"/>
      <c r="S209" s="206"/>
      <c r="T209" s="206"/>
      <c r="U209" s="86"/>
      <c r="V209" s="105">
        <f t="shared" si="64"/>
        <v>1094671.014</v>
      </c>
      <c r="W209" s="105">
        <f t="shared" si="65"/>
        <v>364890.338</v>
      </c>
      <c r="X209" s="105">
        <f>L209-'раздел 4'!C213</f>
        <v>0</v>
      </c>
    </row>
    <row r="210" spans="1:24" s="86" customFormat="1" ht="13.5">
      <c r="A210" s="344" t="s">
        <v>83</v>
      </c>
      <c r="B210" s="344"/>
      <c r="C210" s="344"/>
      <c r="D210" s="110" t="s">
        <v>37</v>
      </c>
      <c r="E210" s="110" t="s">
        <v>37</v>
      </c>
      <c r="F210" s="110" t="s">
        <v>37</v>
      </c>
      <c r="G210" s="110" t="s">
        <v>37</v>
      </c>
      <c r="H210" s="115">
        <f>H183+H195+H198+H204+H209</f>
        <v>43389.8</v>
      </c>
      <c r="I210" s="115">
        <f aca="true" t="shared" si="66" ref="I210:P210">I183+I195+I198+I204+I209</f>
        <v>35542.399999999994</v>
      </c>
      <c r="J210" s="115">
        <f t="shared" si="66"/>
        <v>35514.28</v>
      </c>
      <c r="K210" s="171">
        <f t="shared" si="66"/>
        <v>1517</v>
      </c>
      <c r="L210" s="273">
        <f t="shared" si="66"/>
        <v>7094859.460000001</v>
      </c>
      <c r="M210" s="273">
        <f t="shared" si="66"/>
        <v>0</v>
      </c>
      <c r="N210" s="273">
        <f t="shared" si="66"/>
        <v>4256915.7</v>
      </c>
      <c r="O210" s="273">
        <f t="shared" si="66"/>
        <v>1418971.88</v>
      </c>
      <c r="P210" s="273">
        <f t="shared" si="66"/>
        <v>1418971.88</v>
      </c>
      <c r="Q210" s="29">
        <f>L210/H210</f>
        <v>163.51445408828803</v>
      </c>
      <c r="R210" s="73"/>
      <c r="S210" s="195"/>
      <c r="T210" s="195"/>
      <c r="U210" s="105">
        <f>L210-N210-O210-P210</f>
        <v>0</v>
      </c>
      <c r="V210" s="105">
        <f t="shared" si="64"/>
        <v>4256915.676</v>
      </c>
      <c r="W210" s="105">
        <f t="shared" si="65"/>
        <v>1418971.8920000002</v>
      </c>
      <c r="X210" s="105">
        <f>L210-'раздел 4'!C214</f>
        <v>0</v>
      </c>
    </row>
    <row r="211" spans="1:24" s="97" customFormat="1" ht="13.5">
      <c r="A211" s="223"/>
      <c r="B211" s="385" t="s">
        <v>387</v>
      </c>
      <c r="C211" s="386"/>
      <c r="D211" s="386"/>
      <c r="E211" s="386"/>
      <c r="F211" s="386"/>
      <c r="G211" s="386"/>
      <c r="H211" s="386"/>
      <c r="I211" s="386"/>
      <c r="J211" s="386"/>
      <c r="K211" s="386"/>
      <c r="L211" s="386"/>
      <c r="M211" s="386"/>
      <c r="N211" s="386"/>
      <c r="O211" s="386"/>
      <c r="P211" s="386"/>
      <c r="Q211" s="386"/>
      <c r="R211" s="386"/>
      <c r="S211" s="386"/>
      <c r="T211" s="387"/>
      <c r="U211" s="199"/>
      <c r="V211" s="105">
        <f t="shared" si="64"/>
        <v>0</v>
      </c>
      <c r="W211" s="105">
        <f t="shared" si="65"/>
        <v>0</v>
      </c>
      <c r="X211" s="105">
        <f>L211-'раздел 4'!C215</f>
        <v>0</v>
      </c>
    </row>
    <row r="212" spans="1:25" s="97" customFormat="1" ht="15" customHeight="1">
      <c r="A212" s="350" t="s">
        <v>141</v>
      </c>
      <c r="B212" s="350"/>
      <c r="C212" s="350"/>
      <c r="D212" s="206"/>
      <c r="E212" s="206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204"/>
      <c r="V212" s="105">
        <f t="shared" si="64"/>
        <v>0</v>
      </c>
      <c r="W212" s="105">
        <f t="shared" si="65"/>
        <v>0</v>
      </c>
      <c r="X212" s="105">
        <f>L212-'раздел 4'!C216</f>
        <v>0</v>
      </c>
      <c r="Y212" s="91" t="s">
        <v>248</v>
      </c>
    </row>
    <row r="213" spans="1:24" s="97" customFormat="1" ht="22.5" customHeight="1">
      <c r="A213" s="87">
        <f>A208+1</f>
        <v>122</v>
      </c>
      <c r="B213" s="103" t="s">
        <v>397</v>
      </c>
      <c r="C213" s="207">
        <v>1974</v>
      </c>
      <c r="D213" s="207" t="s">
        <v>249</v>
      </c>
      <c r="E213" s="207" t="s">
        <v>250</v>
      </c>
      <c r="F213" s="207">
        <v>5</v>
      </c>
      <c r="G213" s="207">
        <v>4</v>
      </c>
      <c r="H213" s="207">
        <v>2968.56</v>
      </c>
      <c r="I213" s="207">
        <v>2968.56</v>
      </c>
      <c r="J213" s="207">
        <v>2744.56</v>
      </c>
      <c r="K213" s="87">
        <v>130</v>
      </c>
      <c r="L213" s="234">
        <f>'раздел 4'!C217</f>
        <v>1032346</v>
      </c>
      <c r="M213" s="234"/>
      <c r="N213" s="96">
        <v>619407.6</v>
      </c>
      <c r="O213" s="234">
        <v>206469.2</v>
      </c>
      <c r="P213" s="96">
        <f>L213-N213-O213</f>
        <v>206469.2</v>
      </c>
      <c r="Q213" s="95">
        <f>L213/H213</f>
        <v>347.7598566308244</v>
      </c>
      <c r="R213" s="96">
        <v>42000</v>
      </c>
      <c r="S213" s="126" t="s">
        <v>401</v>
      </c>
      <c r="T213" s="220" t="s">
        <v>350</v>
      </c>
      <c r="U213" s="86"/>
      <c r="V213" s="105">
        <f t="shared" si="64"/>
        <v>619407.6</v>
      </c>
      <c r="W213" s="105">
        <f t="shared" si="65"/>
        <v>206469.2</v>
      </c>
      <c r="X213" s="105">
        <f>L213-'раздел 4'!C217</f>
        <v>0</v>
      </c>
    </row>
    <row r="214" spans="1:24" s="97" customFormat="1" ht="13.5">
      <c r="A214" s="357" t="s">
        <v>64</v>
      </c>
      <c r="B214" s="357"/>
      <c r="C214" s="32" t="s">
        <v>37</v>
      </c>
      <c r="D214" s="32" t="s">
        <v>37</v>
      </c>
      <c r="E214" s="32" t="s">
        <v>37</v>
      </c>
      <c r="F214" s="32" t="s">
        <v>37</v>
      </c>
      <c r="G214" s="32" t="s">
        <v>37</v>
      </c>
      <c r="H214" s="206">
        <f>SUM(H213)</f>
        <v>2968.56</v>
      </c>
      <c r="I214" s="206">
        <f aca="true" t="shared" si="67" ref="I214:P214">SUM(I213)</f>
        <v>2968.56</v>
      </c>
      <c r="J214" s="206">
        <f t="shared" si="67"/>
        <v>2744.56</v>
      </c>
      <c r="K214" s="99">
        <f t="shared" si="67"/>
        <v>130</v>
      </c>
      <c r="L214" s="96">
        <f t="shared" si="67"/>
        <v>1032346</v>
      </c>
      <c r="M214" s="96">
        <f t="shared" si="67"/>
        <v>0</v>
      </c>
      <c r="N214" s="96">
        <f t="shared" si="67"/>
        <v>619407.6</v>
      </c>
      <c r="O214" s="96">
        <f t="shared" si="67"/>
        <v>206469.2</v>
      </c>
      <c r="P214" s="96">
        <f t="shared" si="67"/>
        <v>206469.2</v>
      </c>
      <c r="Q214" s="95">
        <f>L214/H214</f>
        <v>347.7598566308244</v>
      </c>
      <c r="R214" s="96"/>
      <c r="S214" s="206"/>
      <c r="T214" s="206"/>
      <c r="U214" s="105">
        <f>L214-N214-O214-P214</f>
        <v>0</v>
      </c>
      <c r="V214" s="105">
        <f t="shared" si="64"/>
        <v>619407.6</v>
      </c>
      <c r="W214" s="105">
        <f t="shared" si="65"/>
        <v>206469.2</v>
      </c>
      <c r="X214" s="105">
        <f>L214-'раздел 4'!C218</f>
        <v>0</v>
      </c>
    </row>
    <row r="215" spans="1:25" s="97" customFormat="1" ht="15" customHeight="1">
      <c r="A215" s="307" t="s">
        <v>123</v>
      </c>
      <c r="B215" s="307"/>
      <c r="C215" s="307"/>
      <c r="D215" s="206"/>
      <c r="E215" s="206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195"/>
      <c r="V215" s="105">
        <f t="shared" si="64"/>
        <v>0</v>
      </c>
      <c r="W215" s="105">
        <f t="shared" si="65"/>
        <v>0</v>
      </c>
      <c r="X215" s="105">
        <f>L215-'раздел 4'!C219</f>
        <v>0</v>
      </c>
      <c r="Y215" s="97" t="s">
        <v>197</v>
      </c>
    </row>
    <row r="216" spans="1:24" s="97" customFormat="1" ht="13.5">
      <c r="A216" s="87">
        <f>A213+1</f>
        <v>123</v>
      </c>
      <c r="B216" s="102" t="s">
        <v>398</v>
      </c>
      <c r="C216" s="79">
        <v>1971</v>
      </c>
      <c r="D216" s="104"/>
      <c r="E216" s="79" t="s">
        <v>29</v>
      </c>
      <c r="F216" s="104">
        <v>2</v>
      </c>
      <c r="G216" s="104">
        <v>2</v>
      </c>
      <c r="H216" s="104">
        <v>780.1</v>
      </c>
      <c r="I216" s="104">
        <v>722.5</v>
      </c>
      <c r="J216" s="104">
        <v>547.3</v>
      </c>
      <c r="K216" s="172">
        <v>26</v>
      </c>
      <c r="L216" s="253">
        <f>'раздел 4'!C220</f>
        <v>172707.74</v>
      </c>
      <c r="M216" s="96">
        <v>0</v>
      </c>
      <c r="N216" s="96">
        <v>103624.64</v>
      </c>
      <c r="O216" s="234">
        <v>34541.55</v>
      </c>
      <c r="P216" s="96">
        <f>L216-N216-O216</f>
        <v>34541.54999999999</v>
      </c>
      <c r="Q216" s="95">
        <f>L216/H216</f>
        <v>221.39179592359952</v>
      </c>
      <c r="R216" s="96">
        <v>42000</v>
      </c>
      <c r="S216" s="126" t="s">
        <v>401</v>
      </c>
      <c r="T216" s="101" t="s">
        <v>318</v>
      </c>
      <c r="U216" s="86"/>
      <c r="V216" s="105">
        <f t="shared" si="64"/>
        <v>103624.64399999999</v>
      </c>
      <c r="W216" s="105">
        <f t="shared" si="65"/>
        <v>34541.548</v>
      </c>
      <c r="X216" s="105">
        <f>L216-'раздел 4'!C220</f>
        <v>0</v>
      </c>
    </row>
    <row r="217" spans="1:24" s="97" customFormat="1" ht="13.5">
      <c r="A217" s="357" t="s">
        <v>64</v>
      </c>
      <c r="B217" s="357"/>
      <c r="C217" s="32" t="s">
        <v>37</v>
      </c>
      <c r="D217" s="32" t="s">
        <v>37</v>
      </c>
      <c r="E217" s="32" t="s">
        <v>37</v>
      </c>
      <c r="F217" s="32" t="s">
        <v>37</v>
      </c>
      <c r="G217" s="32" t="s">
        <v>37</v>
      </c>
      <c r="H217" s="206">
        <f aca="true" t="shared" si="68" ref="H217:P217">SUM(H216:H216)</f>
        <v>780.1</v>
      </c>
      <c r="I217" s="206">
        <f t="shared" si="68"/>
        <v>722.5</v>
      </c>
      <c r="J217" s="206">
        <f t="shared" si="68"/>
        <v>547.3</v>
      </c>
      <c r="K217" s="99">
        <f t="shared" si="68"/>
        <v>26</v>
      </c>
      <c r="L217" s="96">
        <f t="shared" si="68"/>
        <v>172707.74</v>
      </c>
      <c r="M217" s="96">
        <f t="shared" si="68"/>
        <v>0</v>
      </c>
      <c r="N217" s="96">
        <f t="shared" si="68"/>
        <v>103624.64</v>
      </c>
      <c r="O217" s="96">
        <f t="shared" si="68"/>
        <v>34541.55</v>
      </c>
      <c r="P217" s="96">
        <f t="shared" si="68"/>
        <v>34541.54999999999</v>
      </c>
      <c r="Q217" s="95">
        <f>L217/H217</f>
        <v>221.39179592359952</v>
      </c>
      <c r="R217" s="96"/>
      <c r="S217" s="206"/>
      <c r="T217" s="206"/>
      <c r="U217" s="86"/>
      <c r="V217" s="105">
        <f t="shared" si="64"/>
        <v>103624.64399999999</v>
      </c>
      <c r="W217" s="105">
        <f t="shared" si="65"/>
        <v>34541.548</v>
      </c>
      <c r="X217" s="105">
        <f>L217-'раздел 4'!C221</f>
        <v>0</v>
      </c>
    </row>
    <row r="218" spans="1:25" s="97" customFormat="1" ht="13.5">
      <c r="A218" s="307" t="s">
        <v>95</v>
      </c>
      <c r="B218" s="307"/>
      <c r="C218" s="307"/>
      <c r="D218" s="206"/>
      <c r="E218" s="206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195"/>
      <c r="V218" s="105">
        <f t="shared" si="64"/>
        <v>0</v>
      </c>
      <c r="W218" s="105">
        <f t="shared" si="65"/>
        <v>0</v>
      </c>
      <c r="X218" s="105">
        <f>L218-'раздел 4'!C222</f>
        <v>0</v>
      </c>
      <c r="Y218" s="78" t="s">
        <v>220</v>
      </c>
    </row>
    <row r="219" spans="1:24" s="97" customFormat="1" ht="13.5">
      <c r="A219" s="87">
        <f>A216+1</f>
        <v>124</v>
      </c>
      <c r="B219" s="103" t="s">
        <v>133</v>
      </c>
      <c r="C219" s="207">
        <v>1985</v>
      </c>
      <c r="D219" s="207"/>
      <c r="E219" s="207" t="s">
        <v>31</v>
      </c>
      <c r="F219" s="207">
        <v>2</v>
      </c>
      <c r="G219" s="207">
        <v>1</v>
      </c>
      <c r="H219" s="207">
        <v>194.6</v>
      </c>
      <c r="I219" s="207">
        <v>194.6</v>
      </c>
      <c r="J219" s="207">
        <v>82</v>
      </c>
      <c r="K219" s="87">
        <v>8</v>
      </c>
      <c r="L219" s="234">
        <f>'раздел 4'!C223</f>
        <v>113889.09</v>
      </c>
      <c r="M219" s="234"/>
      <c r="N219" s="96">
        <v>68333.45</v>
      </c>
      <c r="O219" s="234">
        <v>22777.82</v>
      </c>
      <c r="P219" s="96">
        <f>L219-N219-O219</f>
        <v>22777.82</v>
      </c>
      <c r="Q219" s="95">
        <f>L219/H219</f>
        <v>585.2471223021582</v>
      </c>
      <c r="R219" s="96">
        <v>42000</v>
      </c>
      <c r="S219" s="126" t="s">
        <v>401</v>
      </c>
      <c r="T219" s="101" t="s">
        <v>318</v>
      </c>
      <c r="U219" s="86"/>
      <c r="V219" s="105">
        <f t="shared" si="64"/>
        <v>68333.454</v>
      </c>
      <c r="W219" s="105">
        <f t="shared" si="65"/>
        <v>22777.818</v>
      </c>
      <c r="X219" s="105">
        <f>L219-'раздел 4'!C223</f>
        <v>0</v>
      </c>
    </row>
    <row r="220" spans="1:24" s="97" customFormat="1" ht="13.5">
      <c r="A220" s="357" t="s">
        <v>64</v>
      </c>
      <c r="B220" s="357"/>
      <c r="C220" s="32" t="s">
        <v>37</v>
      </c>
      <c r="D220" s="32" t="s">
        <v>37</v>
      </c>
      <c r="E220" s="32" t="s">
        <v>37</v>
      </c>
      <c r="F220" s="32" t="s">
        <v>37</v>
      </c>
      <c r="G220" s="32" t="s">
        <v>37</v>
      </c>
      <c r="H220" s="206">
        <f aca="true" t="shared" si="69" ref="H220:P220">SUM(H219:H219)</f>
        <v>194.6</v>
      </c>
      <c r="I220" s="206">
        <f t="shared" si="69"/>
        <v>194.6</v>
      </c>
      <c r="J220" s="206">
        <f t="shared" si="69"/>
        <v>82</v>
      </c>
      <c r="K220" s="99">
        <f t="shared" si="69"/>
        <v>8</v>
      </c>
      <c r="L220" s="96">
        <f t="shared" si="69"/>
        <v>113889.09</v>
      </c>
      <c r="M220" s="96">
        <f t="shared" si="69"/>
        <v>0</v>
      </c>
      <c r="N220" s="96">
        <v>68333.45</v>
      </c>
      <c r="O220" s="234">
        <v>22777.82</v>
      </c>
      <c r="P220" s="96">
        <f t="shared" si="69"/>
        <v>22777.82</v>
      </c>
      <c r="Q220" s="95">
        <f>L220/H220</f>
        <v>585.2471223021582</v>
      </c>
      <c r="R220" s="96">
        <v>42000</v>
      </c>
      <c r="S220" s="126" t="s">
        <v>401</v>
      </c>
      <c r="T220" s="206"/>
      <c r="U220" s="86"/>
      <c r="V220" s="105">
        <f t="shared" si="64"/>
        <v>68333.454</v>
      </c>
      <c r="W220" s="105">
        <f t="shared" si="65"/>
        <v>22777.818</v>
      </c>
      <c r="X220" s="105">
        <f>L220-'раздел 4'!C224</f>
        <v>0</v>
      </c>
    </row>
    <row r="221" spans="1:24" s="195" customFormat="1" ht="13.5">
      <c r="A221" s="309" t="s">
        <v>85</v>
      </c>
      <c r="B221" s="309"/>
      <c r="C221" s="309"/>
      <c r="D221" s="110" t="s">
        <v>37</v>
      </c>
      <c r="E221" s="110" t="s">
        <v>37</v>
      </c>
      <c r="F221" s="110" t="s">
        <v>37</v>
      </c>
      <c r="G221" s="110" t="s">
        <v>37</v>
      </c>
      <c r="H221" s="115">
        <f aca="true" t="shared" si="70" ref="H221:P221">H214+H217+H220</f>
        <v>3943.2599999999998</v>
      </c>
      <c r="I221" s="29">
        <f t="shared" si="70"/>
        <v>3885.66</v>
      </c>
      <c r="J221" s="29">
        <f t="shared" si="70"/>
        <v>3373.8599999999997</v>
      </c>
      <c r="K221" s="159">
        <f t="shared" si="70"/>
        <v>164</v>
      </c>
      <c r="L221" s="73">
        <f t="shared" si="70"/>
        <v>1318942.83</v>
      </c>
      <c r="M221" s="73">
        <f t="shared" si="70"/>
        <v>0</v>
      </c>
      <c r="N221" s="73">
        <f>N214+N217+N220</f>
        <v>791365.69</v>
      </c>
      <c r="O221" s="73">
        <f>O214+O217+O220</f>
        <v>263788.57</v>
      </c>
      <c r="P221" s="73">
        <f t="shared" si="70"/>
        <v>263788.57</v>
      </c>
      <c r="Q221" s="29">
        <f>L221/H221</f>
        <v>334.48031070738426</v>
      </c>
      <c r="R221" s="73"/>
      <c r="U221" s="123">
        <f>L221-N221-O221-P221</f>
        <v>0</v>
      </c>
      <c r="V221" s="123">
        <f t="shared" si="64"/>
        <v>791365.698</v>
      </c>
      <c r="W221" s="123">
        <f t="shared" si="65"/>
        <v>263788.56600000005</v>
      </c>
      <c r="X221" s="105">
        <f>L221-'раздел 4'!C225</f>
        <v>0</v>
      </c>
    </row>
    <row r="222" spans="1:24" s="97" customFormat="1" ht="15.75" customHeight="1">
      <c r="A222" s="347" t="s">
        <v>331</v>
      </c>
      <c r="B222" s="348"/>
      <c r="C222" s="348"/>
      <c r="D222" s="348"/>
      <c r="E222" s="348"/>
      <c r="F222" s="348"/>
      <c r="G222" s="348"/>
      <c r="H222" s="348"/>
      <c r="I222" s="348"/>
      <c r="J222" s="348"/>
      <c r="K222" s="348"/>
      <c r="L222" s="348"/>
      <c r="M222" s="348"/>
      <c r="N222" s="348"/>
      <c r="O222" s="348"/>
      <c r="P222" s="348"/>
      <c r="Q222" s="348"/>
      <c r="R222" s="348"/>
      <c r="S222" s="348"/>
      <c r="T222" s="349"/>
      <c r="U222" s="105"/>
      <c r="V222" s="105"/>
      <c r="W222" s="105"/>
      <c r="X222" s="105">
        <f>L222-'раздел 4'!C226</f>
        <v>0</v>
      </c>
    </row>
    <row r="223" spans="1:24" s="97" customFormat="1" ht="13.5">
      <c r="A223" s="363" t="str">
        <f>'раздел 4'!A227</f>
        <v>Муниципальное образование Сланцевское городское поселение</v>
      </c>
      <c r="B223" s="364"/>
      <c r="C223" s="365"/>
      <c r="D223" s="110"/>
      <c r="E223" s="110"/>
      <c r="F223" s="110"/>
      <c r="G223" s="110"/>
      <c r="H223" s="95"/>
      <c r="I223" s="95"/>
      <c r="J223" s="95"/>
      <c r="K223" s="99"/>
      <c r="L223" s="73"/>
      <c r="M223" s="96"/>
      <c r="N223" s="73"/>
      <c r="O223" s="73"/>
      <c r="P223" s="73"/>
      <c r="Q223" s="95"/>
      <c r="R223" s="96"/>
      <c r="S223" s="206"/>
      <c r="T223" s="206"/>
      <c r="U223" s="105"/>
      <c r="V223" s="105"/>
      <c r="W223" s="105"/>
      <c r="X223" s="105">
        <f>L223-'раздел 4'!C227</f>
        <v>0</v>
      </c>
    </row>
    <row r="224" spans="1:24" s="97" customFormat="1" ht="13.5">
      <c r="A224" s="92">
        <f>A219+1</f>
        <v>125</v>
      </c>
      <c r="B224" s="197" t="str">
        <f>'раздел 4'!B228</f>
        <v>г.Сланцы, ул.Максима Горького, д.5/9</v>
      </c>
      <c r="C224" s="205">
        <v>1946</v>
      </c>
      <c r="D224" s="181"/>
      <c r="E224" s="180" t="s">
        <v>27</v>
      </c>
      <c r="F224" s="178">
        <v>2</v>
      </c>
      <c r="G224" s="178">
        <v>3</v>
      </c>
      <c r="H224" s="193">
        <v>2084.11</v>
      </c>
      <c r="I224" s="193">
        <v>1160.7</v>
      </c>
      <c r="J224" s="193">
        <v>1038.36</v>
      </c>
      <c r="K224" s="179">
        <v>42</v>
      </c>
      <c r="L224" s="96">
        <f>'раздел 4'!C228</f>
        <v>310605.19</v>
      </c>
      <c r="M224" s="96"/>
      <c r="N224" s="96">
        <v>120000</v>
      </c>
      <c r="O224" s="96">
        <v>40000</v>
      </c>
      <c r="P224" s="96">
        <f>L224-N224-O224</f>
        <v>150605.19</v>
      </c>
      <c r="Q224" s="95"/>
      <c r="R224" s="96">
        <v>42000</v>
      </c>
      <c r="S224" s="126" t="s">
        <v>401</v>
      </c>
      <c r="T224" s="101" t="s">
        <v>318</v>
      </c>
      <c r="U224" s="120"/>
      <c r="V224" s="105">
        <f>L224*0.6</f>
        <v>186363.114</v>
      </c>
      <c r="W224" s="105">
        <f>L224*0.2</f>
        <v>62121.038</v>
      </c>
      <c r="X224" s="105">
        <f>L224-'раздел 4'!C228</f>
        <v>0</v>
      </c>
    </row>
    <row r="225" spans="1:24" s="97" customFormat="1" ht="13.5">
      <c r="A225" s="388" t="str">
        <f>'раздел 4'!A229</f>
        <v>Итого по муниципальному образованию</v>
      </c>
      <c r="B225" s="389"/>
      <c r="C225" s="32" t="s">
        <v>37</v>
      </c>
      <c r="D225" s="32" t="s">
        <v>37</v>
      </c>
      <c r="E225" s="32" t="s">
        <v>37</v>
      </c>
      <c r="F225" s="32" t="s">
        <v>37</v>
      </c>
      <c r="G225" s="32" t="s">
        <v>37</v>
      </c>
      <c r="H225" s="95">
        <f>H224</f>
        <v>2084.11</v>
      </c>
      <c r="I225" s="95">
        <f aca="true" t="shared" si="71" ref="I225:Q225">I224</f>
        <v>1160.7</v>
      </c>
      <c r="J225" s="95">
        <f t="shared" si="71"/>
        <v>1038.36</v>
      </c>
      <c r="K225" s="99">
        <f t="shared" si="71"/>
        <v>42</v>
      </c>
      <c r="L225" s="96">
        <f t="shared" si="71"/>
        <v>310605.19</v>
      </c>
      <c r="M225" s="96">
        <f t="shared" si="71"/>
        <v>0</v>
      </c>
      <c r="N225" s="96">
        <f t="shared" si="71"/>
        <v>120000</v>
      </c>
      <c r="O225" s="96">
        <f t="shared" si="71"/>
        <v>40000</v>
      </c>
      <c r="P225" s="96">
        <f t="shared" si="71"/>
        <v>150605.19</v>
      </c>
      <c r="Q225" s="95">
        <f t="shared" si="71"/>
        <v>0</v>
      </c>
      <c r="R225" s="96"/>
      <c r="S225" s="206"/>
      <c r="T225" s="206"/>
      <c r="U225" s="120"/>
      <c r="V225" s="120"/>
      <c r="W225" s="120"/>
      <c r="X225" s="105">
        <f>L225-'раздел 4'!C229</f>
        <v>0</v>
      </c>
    </row>
    <row r="226" spans="1:24" s="86" customFormat="1" ht="13.5">
      <c r="A226" s="363" t="str">
        <f>'раздел 4'!A230</f>
        <v>Итого по Сланцевскому муниципальному району</v>
      </c>
      <c r="B226" s="364"/>
      <c r="C226" s="365"/>
      <c r="D226" s="110" t="s">
        <v>37</v>
      </c>
      <c r="E226" s="110" t="s">
        <v>37</v>
      </c>
      <c r="F226" s="110" t="s">
        <v>37</v>
      </c>
      <c r="G226" s="110" t="s">
        <v>37</v>
      </c>
      <c r="H226" s="29">
        <f>H225</f>
        <v>2084.11</v>
      </c>
      <c r="I226" s="29">
        <f aca="true" t="shared" si="72" ref="I226:Q226">I225</f>
        <v>1160.7</v>
      </c>
      <c r="J226" s="29">
        <f t="shared" si="72"/>
        <v>1038.36</v>
      </c>
      <c r="K226" s="159">
        <f t="shared" si="72"/>
        <v>42</v>
      </c>
      <c r="L226" s="73">
        <f t="shared" si="72"/>
        <v>310605.19</v>
      </c>
      <c r="M226" s="73">
        <f t="shared" si="72"/>
        <v>0</v>
      </c>
      <c r="N226" s="73">
        <f t="shared" si="72"/>
        <v>120000</v>
      </c>
      <c r="O226" s="73">
        <f t="shared" si="72"/>
        <v>40000</v>
      </c>
      <c r="P226" s="73">
        <f t="shared" si="72"/>
        <v>150605.19</v>
      </c>
      <c r="Q226" s="29">
        <f t="shared" si="72"/>
        <v>0</v>
      </c>
      <c r="R226" s="73"/>
      <c r="S226" s="29"/>
      <c r="T226" s="29"/>
      <c r="U226" s="105"/>
      <c r="V226" s="105"/>
      <c r="W226" s="105"/>
      <c r="X226" s="105">
        <f>L226-'раздел 4'!C230</f>
        <v>0</v>
      </c>
    </row>
    <row r="227" spans="1:25" s="97" customFormat="1" ht="13.5">
      <c r="A227" s="223"/>
      <c r="B227" s="385" t="s">
        <v>1</v>
      </c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7"/>
      <c r="T227" s="206"/>
      <c r="U227" s="86"/>
      <c r="V227" s="105">
        <f t="shared" si="64"/>
        <v>0</v>
      </c>
      <c r="W227" s="105">
        <f t="shared" si="65"/>
        <v>0</v>
      </c>
      <c r="X227" s="105">
        <f>L227-'раздел 4'!C231</f>
        <v>0</v>
      </c>
      <c r="Y227" s="97" t="s">
        <v>251</v>
      </c>
    </row>
    <row r="228" spans="1:24" s="97" customFormat="1" ht="13.5">
      <c r="A228" s="92">
        <f>A224+1</f>
        <v>126</v>
      </c>
      <c r="B228" s="59" t="s">
        <v>122</v>
      </c>
      <c r="C228" s="207">
        <v>1977</v>
      </c>
      <c r="D228" s="206"/>
      <c r="E228" s="206" t="s">
        <v>29</v>
      </c>
      <c r="F228" s="206">
        <v>12</v>
      </c>
      <c r="G228" s="206">
        <v>1</v>
      </c>
      <c r="H228" s="206">
        <v>3993</v>
      </c>
      <c r="I228" s="206">
        <v>2332.7</v>
      </c>
      <c r="J228" s="206">
        <v>2332.7</v>
      </c>
      <c r="K228" s="99">
        <v>193</v>
      </c>
      <c r="L228" s="96">
        <f>'раздел 4'!C232</f>
        <v>507701.51</v>
      </c>
      <c r="M228" s="96">
        <v>0</v>
      </c>
      <c r="N228" s="96">
        <v>304620.91</v>
      </c>
      <c r="O228" s="234">
        <v>101540.3</v>
      </c>
      <c r="P228" s="96">
        <f>L228-N228-O228</f>
        <v>101540.30000000003</v>
      </c>
      <c r="Q228" s="95">
        <f>L228/H228</f>
        <v>127.1478863010268</v>
      </c>
      <c r="R228" s="96">
        <v>42000</v>
      </c>
      <c r="S228" s="126" t="s">
        <v>401</v>
      </c>
      <c r="T228" s="101" t="s">
        <v>318</v>
      </c>
      <c r="U228" s="86"/>
      <c r="V228" s="105">
        <f t="shared" si="64"/>
        <v>304620.906</v>
      </c>
      <c r="W228" s="105">
        <f t="shared" si="65"/>
        <v>101540.30200000001</v>
      </c>
      <c r="X228" s="105">
        <f>L228-'раздел 4'!C232</f>
        <v>0</v>
      </c>
    </row>
    <row r="229" spans="1:24" s="86" customFormat="1" ht="13.5">
      <c r="A229" s="344" t="s">
        <v>64</v>
      </c>
      <c r="B229" s="344"/>
      <c r="C229" s="110" t="s">
        <v>37</v>
      </c>
      <c r="D229" s="110" t="s">
        <v>37</v>
      </c>
      <c r="E229" s="110" t="s">
        <v>37</v>
      </c>
      <c r="F229" s="110" t="s">
        <v>37</v>
      </c>
      <c r="G229" s="110" t="s">
        <v>37</v>
      </c>
      <c r="H229" s="200">
        <f aca="true" t="shared" si="73" ref="H229:P229">SUM(H228:H228)</f>
        <v>3993</v>
      </c>
      <c r="I229" s="195">
        <f t="shared" si="73"/>
        <v>2332.7</v>
      </c>
      <c r="J229" s="195">
        <f t="shared" si="73"/>
        <v>2332.7</v>
      </c>
      <c r="K229" s="159">
        <f t="shared" si="73"/>
        <v>193</v>
      </c>
      <c r="L229" s="73">
        <f t="shared" si="73"/>
        <v>507701.51</v>
      </c>
      <c r="M229" s="73">
        <f t="shared" si="73"/>
        <v>0</v>
      </c>
      <c r="N229" s="73">
        <f t="shared" si="73"/>
        <v>304620.91</v>
      </c>
      <c r="O229" s="73">
        <f t="shared" si="73"/>
        <v>101540.3</v>
      </c>
      <c r="P229" s="73">
        <f t="shared" si="73"/>
        <v>101540.30000000003</v>
      </c>
      <c r="Q229" s="29">
        <f>L229/H229</f>
        <v>127.1478863010268</v>
      </c>
      <c r="R229" s="73"/>
      <c r="S229" s="195"/>
      <c r="T229" s="195"/>
      <c r="U229" s="105">
        <f>L229-N229-O229-P229</f>
        <v>0</v>
      </c>
      <c r="V229" s="105">
        <f t="shared" si="64"/>
        <v>304620.906</v>
      </c>
      <c r="W229" s="105">
        <f t="shared" si="65"/>
        <v>101540.30200000001</v>
      </c>
      <c r="X229" s="105">
        <f>L229-'раздел 4'!C233</f>
        <v>0</v>
      </c>
    </row>
    <row r="230" spans="1:24" s="97" customFormat="1" ht="13.5">
      <c r="A230" s="223"/>
      <c r="B230" s="385" t="s">
        <v>386</v>
      </c>
      <c r="C230" s="386"/>
      <c r="D230" s="386"/>
      <c r="E230" s="386"/>
      <c r="F230" s="386"/>
      <c r="G230" s="386"/>
      <c r="H230" s="386"/>
      <c r="I230" s="386"/>
      <c r="J230" s="386"/>
      <c r="K230" s="386"/>
      <c r="L230" s="386"/>
      <c r="M230" s="386"/>
      <c r="N230" s="386"/>
      <c r="O230" s="386"/>
      <c r="P230" s="386"/>
      <c r="Q230" s="386"/>
      <c r="R230" s="386"/>
      <c r="S230" s="386"/>
      <c r="T230" s="387"/>
      <c r="U230" s="199"/>
      <c r="V230" s="105">
        <f t="shared" si="64"/>
        <v>0</v>
      </c>
      <c r="W230" s="105">
        <f t="shared" si="65"/>
        <v>0</v>
      </c>
      <c r="X230" s="105">
        <f>L230-'раздел 4'!C234</f>
        <v>0</v>
      </c>
    </row>
    <row r="231" spans="1:25" s="97" customFormat="1" ht="13.5">
      <c r="A231" s="307" t="s">
        <v>87</v>
      </c>
      <c r="B231" s="307"/>
      <c r="C231" s="307"/>
      <c r="D231" s="206"/>
      <c r="E231" s="206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195"/>
      <c r="V231" s="105">
        <f t="shared" si="64"/>
        <v>0</v>
      </c>
      <c r="W231" s="105">
        <f t="shared" si="65"/>
        <v>0</v>
      </c>
      <c r="X231" s="105">
        <f>L231-'раздел 4'!C235</f>
        <v>0</v>
      </c>
      <c r="Y231" s="97" t="s">
        <v>252</v>
      </c>
    </row>
    <row r="232" spans="1:24" s="97" customFormat="1" ht="13.5">
      <c r="A232" s="87">
        <f>A228+1</f>
        <v>127</v>
      </c>
      <c r="B232" s="60" t="s">
        <v>124</v>
      </c>
      <c r="C232" s="143">
        <v>1972</v>
      </c>
      <c r="D232" s="143" t="s">
        <v>32</v>
      </c>
      <c r="E232" s="143" t="s">
        <v>39</v>
      </c>
      <c r="F232" s="143">
        <v>5</v>
      </c>
      <c r="G232" s="143">
        <v>8</v>
      </c>
      <c r="H232" s="143">
        <v>3859.4</v>
      </c>
      <c r="I232" s="143">
        <v>2439</v>
      </c>
      <c r="J232" s="143">
        <v>1921</v>
      </c>
      <c r="K232" s="173">
        <v>184</v>
      </c>
      <c r="L232" s="287">
        <f>'раздел 4'!C236</f>
        <v>352985.31</v>
      </c>
      <c r="M232" s="96">
        <v>0</v>
      </c>
      <c r="N232" s="96">
        <v>211791.19</v>
      </c>
      <c r="O232" s="234">
        <v>70597.06</v>
      </c>
      <c r="P232" s="96">
        <f>L232-N232-O232</f>
        <v>70597.06</v>
      </c>
      <c r="Q232" s="95">
        <f aca="true" t="shared" si="74" ref="Q232:Q238">L232/H232</f>
        <v>91.46118826760636</v>
      </c>
      <c r="R232" s="96">
        <v>42000</v>
      </c>
      <c r="S232" s="126" t="s">
        <v>401</v>
      </c>
      <c r="T232" s="101" t="s">
        <v>318</v>
      </c>
      <c r="U232" s="86"/>
      <c r="V232" s="105">
        <f t="shared" si="64"/>
        <v>211791.186</v>
      </c>
      <c r="W232" s="105">
        <f t="shared" si="65"/>
        <v>70597.062</v>
      </c>
      <c r="X232" s="105">
        <f>L232-'раздел 4'!C236</f>
        <v>0</v>
      </c>
    </row>
    <row r="233" spans="1:24" s="97" customFormat="1" ht="13.5">
      <c r="A233" s="98">
        <f>A232+1</f>
        <v>128</v>
      </c>
      <c r="B233" s="61" t="s">
        <v>125</v>
      </c>
      <c r="C233" s="144">
        <v>1972</v>
      </c>
      <c r="D233" s="144" t="s">
        <v>32</v>
      </c>
      <c r="E233" s="144" t="s">
        <v>39</v>
      </c>
      <c r="F233" s="144">
        <v>5</v>
      </c>
      <c r="G233" s="144">
        <v>8</v>
      </c>
      <c r="H233" s="144">
        <v>3916</v>
      </c>
      <c r="I233" s="144">
        <v>2515</v>
      </c>
      <c r="J233" s="144">
        <v>1991</v>
      </c>
      <c r="K233" s="174">
        <v>209</v>
      </c>
      <c r="L233" s="287">
        <f>'раздел 4'!C237</f>
        <v>352985.31</v>
      </c>
      <c r="M233" s="96">
        <v>0</v>
      </c>
      <c r="N233" s="96">
        <v>211791.19</v>
      </c>
      <c r="O233" s="234">
        <v>70597.06</v>
      </c>
      <c r="P233" s="96">
        <f>L233-N233-O233</f>
        <v>70597.06</v>
      </c>
      <c r="Q233" s="95">
        <f t="shared" si="74"/>
        <v>90.1392517875383</v>
      </c>
      <c r="R233" s="96">
        <v>42000</v>
      </c>
      <c r="S233" s="126" t="s">
        <v>401</v>
      </c>
      <c r="T233" s="101" t="s">
        <v>318</v>
      </c>
      <c r="U233" s="86"/>
      <c r="V233" s="105">
        <f t="shared" si="64"/>
        <v>211791.186</v>
      </c>
      <c r="W233" s="105">
        <f t="shared" si="65"/>
        <v>70597.062</v>
      </c>
      <c r="X233" s="105">
        <f>L233-'раздел 4'!C237</f>
        <v>0</v>
      </c>
    </row>
    <row r="234" spans="1:24" s="97" customFormat="1" ht="14.25" customHeight="1">
      <c r="A234" s="98">
        <f>A233+1</f>
        <v>129</v>
      </c>
      <c r="B234" s="47" t="s">
        <v>126</v>
      </c>
      <c r="C234" s="145">
        <v>1977</v>
      </c>
      <c r="D234" s="145" t="s">
        <v>32</v>
      </c>
      <c r="E234" s="145" t="s">
        <v>29</v>
      </c>
      <c r="F234" s="145">
        <v>2</v>
      </c>
      <c r="G234" s="145">
        <v>2</v>
      </c>
      <c r="H234" s="145">
        <v>782.8</v>
      </c>
      <c r="I234" s="145">
        <v>719.8</v>
      </c>
      <c r="J234" s="145">
        <v>501.7</v>
      </c>
      <c r="K234" s="175">
        <v>22</v>
      </c>
      <c r="L234" s="287">
        <f>'раздел 4'!C238</f>
        <v>189962.48</v>
      </c>
      <c r="M234" s="96">
        <v>0</v>
      </c>
      <c r="N234" s="96">
        <v>113977.48</v>
      </c>
      <c r="O234" s="234">
        <v>37992.5</v>
      </c>
      <c r="P234" s="96">
        <f>L234-N234-O234</f>
        <v>37992.500000000015</v>
      </c>
      <c r="Q234" s="95">
        <f t="shared" si="74"/>
        <v>242.67051609606543</v>
      </c>
      <c r="R234" s="96">
        <v>42000</v>
      </c>
      <c r="S234" s="126" t="s">
        <v>401</v>
      </c>
      <c r="T234" s="101" t="s">
        <v>318</v>
      </c>
      <c r="U234" s="86"/>
      <c r="V234" s="105">
        <f t="shared" si="64"/>
        <v>113977.488</v>
      </c>
      <c r="W234" s="105">
        <f t="shared" si="65"/>
        <v>37992.49600000001</v>
      </c>
      <c r="X234" s="105">
        <f>L234-'раздел 4'!C238</f>
        <v>0</v>
      </c>
    </row>
    <row r="235" spans="1:24" s="97" customFormat="1" ht="13.5">
      <c r="A235" s="98">
        <f>A234+1</f>
        <v>130</v>
      </c>
      <c r="B235" s="62" t="s">
        <v>128</v>
      </c>
      <c r="C235" s="143">
        <v>1975</v>
      </c>
      <c r="D235" s="143"/>
      <c r="E235" s="143" t="s">
        <v>39</v>
      </c>
      <c r="F235" s="143">
        <v>3</v>
      </c>
      <c r="G235" s="143">
        <v>4</v>
      </c>
      <c r="H235" s="143">
        <v>1221.6</v>
      </c>
      <c r="I235" s="143">
        <v>1221.7</v>
      </c>
      <c r="J235" s="143">
        <v>1180.2</v>
      </c>
      <c r="K235" s="173">
        <v>58</v>
      </c>
      <c r="L235" s="287">
        <f>'раздел 4'!C239</f>
        <v>192955.45</v>
      </c>
      <c r="M235" s="96">
        <v>0</v>
      </c>
      <c r="N235" s="96">
        <v>115773.27</v>
      </c>
      <c r="O235" s="234">
        <v>38591.09</v>
      </c>
      <c r="P235" s="96">
        <f>L235-N235-O235</f>
        <v>38591.09000000001</v>
      </c>
      <c r="Q235" s="95">
        <f t="shared" si="74"/>
        <v>157.95305337262607</v>
      </c>
      <c r="R235" s="96">
        <v>42000</v>
      </c>
      <c r="S235" s="126" t="s">
        <v>401</v>
      </c>
      <c r="T235" s="101" t="s">
        <v>318</v>
      </c>
      <c r="U235" s="86"/>
      <c r="V235" s="105">
        <f t="shared" si="64"/>
        <v>115773.27</v>
      </c>
      <c r="W235" s="105">
        <f t="shared" si="65"/>
        <v>38591.090000000004</v>
      </c>
      <c r="X235" s="105">
        <f>L235-'раздел 4'!C239</f>
        <v>0</v>
      </c>
    </row>
    <row r="236" spans="1:24" s="97" customFormat="1" ht="13.5">
      <c r="A236" s="98">
        <f>A235+1</f>
        <v>131</v>
      </c>
      <c r="B236" s="60" t="s">
        <v>127</v>
      </c>
      <c r="C236" s="146">
        <v>1961</v>
      </c>
      <c r="D236" s="146"/>
      <c r="E236" s="146" t="s">
        <v>28</v>
      </c>
      <c r="F236" s="146">
        <v>9</v>
      </c>
      <c r="G236" s="146">
        <v>6</v>
      </c>
      <c r="H236" s="146">
        <v>11574.6</v>
      </c>
      <c r="I236" s="146">
        <v>8922</v>
      </c>
      <c r="J236" s="146">
        <v>7640</v>
      </c>
      <c r="K236" s="176">
        <v>516</v>
      </c>
      <c r="L236" s="287">
        <f>'раздел 4'!C240</f>
        <v>723279.94</v>
      </c>
      <c r="M236" s="96">
        <v>0</v>
      </c>
      <c r="N236" s="96">
        <v>433967.96</v>
      </c>
      <c r="O236" s="234">
        <v>144655.99</v>
      </c>
      <c r="P236" s="96">
        <f>L236-N236-O236</f>
        <v>144655.98999999993</v>
      </c>
      <c r="Q236" s="95">
        <f t="shared" si="74"/>
        <v>62.48854733640903</v>
      </c>
      <c r="R236" s="96">
        <v>42000</v>
      </c>
      <c r="S236" s="126" t="s">
        <v>401</v>
      </c>
      <c r="T236" s="206"/>
      <c r="U236" s="105">
        <f>L236-N236-O236-P236</f>
        <v>0</v>
      </c>
      <c r="V236" s="105">
        <f t="shared" si="64"/>
        <v>433967.964</v>
      </c>
      <c r="W236" s="105">
        <f t="shared" si="65"/>
        <v>144655.98799999998</v>
      </c>
      <c r="X236" s="105">
        <f>L236-'раздел 4'!C240</f>
        <v>0</v>
      </c>
    </row>
    <row r="237" spans="1:24" s="97" customFormat="1" ht="13.5">
      <c r="A237" s="357" t="s">
        <v>64</v>
      </c>
      <c r="B237" s="357"/>
      <c r="C237" s="32" t="s">
        <v>37</v>
      </c>
      <c r="D237" s="32" t="s">
        <v>37</v>
      </c>
      <c r="E237" s="32" t="s">
        <v>37</v>
      </c>
      <c r="F237" s="32" t="s">
        <v>37</v>
      </c>
      <c r="G237" s="32" t="s">
        <v>37</v>
      </c>
      <c r="H237" s="206">
        <f aca="true" t="shared" si="75" ref="H237:P237">SUM(H232:H236)</f>
        <v>21354.4</v>
      </c>
      <c r="I237" s="206">
        <f t="shared" si="75"/>
        <v>15817.5</v>
      </c>
      <c r="J237" s="206">
        <f t="shared" si="75"/>
        <v>13233.9</v>
      </c>
      <c r="K237" s="99">
        <f t="shared" si="75"/>
        <v>989</v>
      </c>
      <c r="L237" s="73">
        <f>SUM(L232:L236)</f>
        <v>1812168.49</v>
      </c>
      <c r="M237" s="96">
        <f t="shared" si="75"/>
        <v>0</v>
      </c>
      <c r="N237" s="96">
        <f t="shared" si="75"/>
        <v>1087301.09</v>
      </c>
      <c r="O237" s="96">
        <f t="shared" si="75"/>
        <v>362433.69999999995</v>
      </c>
      <c r="P237" s="96">
        <f t="shared" si="75"/>
        <v>362433.69999999995</v>
      </c>
      <c r="Q237" s="95">
        <f t="shared" si="74"/>
        <v>84.86159714157269</v>
      </c>
      <c r="R237" s="96"/>
      <c r="S237" s="206"/>
      <c r="T237" s="206"/>
      <c r="U237" s="105">
        <f>L237-N237-O237-P237</f>
        <v>0</v>
      </c>
      <c r="V237" s="105">
        <f t="shared" si="64"/>
        <v>1087301.094</v>
      </c>
      <c r="W237" s="105">
        <f t="shared" si="65"/>
        <v>362433.69800000003</v>
      </c>
      <c r="X237" s="105">
        <f>L237-'раздел 4'!C241</f>
        <v>0</v>
      </c>
    </row>
    <row r="238" spans="1:24" s="63" customFormat="1" ht="13.5">
      <c r="A238" s="350" t="s">
        <v>89</v>
      </c>
      <c r="B238" s="350"/>
      <c r="C238" s="76"/>
      <c r="D238" s="195"/>
      <c r="E238" s="195"/>
      <c r="F238" s="195"/>
      <c r="G238" s="195"/>
      <c r="H238" s="29">
        <f>H15+H27+H37+H87+H119+H125+H135+H148+H179+H210+H229+H237+H226+H221</f>
        <v>339837.28</v>
      </c>
      <c r="I238" s="29">
        <f>I15+I27+I37+I87+I119+I125+I135+I148+I179+I210+I229+I237+I226+I221</f>
        <v>272048.77</v>
      </c>
      <c r="J238" s="29">
        <f>J15+J27+J37+J87+J119+J125+J135+J148+J179+J210+J229+J237+J226+J221</f>
        <v>231024.69</v>
      </c>
      <c r="K238" s="159">
        <f>K15+K27+K37+K87+K119+K125+K135+K148+K179+K210+K229+K237+K226+K221</f>
        <v>12751</v>
      </c>
      <c r="L238" s="73">
        <f>L15+L21+L27+L37+L87+L119+L125+L135+L148+L179+L210+L221+L229+L237+L226</f>
        <v>76855691.94900002</v>
      </c>
      <c r="M238" s="73">
        <f>M15+M21+M27+M37+M87+M119+M125+M135+M148+M179+M210+M221+M229+M237+M226</f>
        <v>0</v>
      </c>
      <c r="N238" s="73">
        <f>N15+N21+N27+N37+N87+N119+N125+N135+N148+N179+N210+N221+N229+N237+N226</f>
        <v>42923283.486</v>
      </c>
      <c r="O238" s="73">
        <f>O15+O21+O27+O37+O87+O119+O125+O135+O148+O179+O210+O221+O229+O237+O226</f>
        <v>14928865.561999999</v>
      </c>
      <c r="P238" s="73">
        <f>P15+P21+P27+P37+P87+P119+P125+P135+P148+P179+P210+P221+P229+P237+P226</f>
        <v>19003542.901000004</v>
      </c>
      <c r="Q238" s="95">
        <f t="shared" si="74"/>
        <v>226.15438762045179</v>
      </c>
      <c r="R238" s="73"/>
      <c r="S238" s="195"/>
      <c r="T238" s="195"/>
      <c r="U238" s="105">
        <f>L238-N238-O238-P238</f>
        <v>0</v>
      </c>
      <c r="V238" s="105">
        <f>L238*0.6</f>
        <v>46113415.16940001</v>
      </c>
      <c r="W238" s="105">
        <f>L238*0.2</f>
        <v>15371138.389800005</v>
      </c>
      <c r="X238" s="105">
        <f>L238-'раздел 4'!C243</f>
        <v>0</v>
      </c>
    </row>
    <row r="239" spans="1:24" ht="13.5">
      <c r="A239" s="353" t="s">
        <v>90</v>
      </c>
      <c r="B239" s="353"/>
      <c r="C239" s="207"/>
      <c r="D239" s="206"/>
      <c r="E239" s="206"/>
      <c r="F239" s="206"/>
      <c r="G239" s="206"/>
      <c r="H239" s="206"/>
      <c r="I239" s="206"/>
      <c r="J239" s="206"/>
      <c r="K239" s="99"/>
      <c r="L239" s="96">
        <f>'раздел 4'!C244</f>
        <v>226681.50946000026</v>
      </c>
      <c r="M239" s="96">
        <f>'раздел 4'!D244</f>
        <v>0</v>
      </c>
      <c r="N239" s="96">
        <v>111857.35</v>
      </c>
      <c r="O239" s="96">
        <v>37285.78</v>
      </c>
      <c r="P239" s="96">
        <f>L239-N239-O239</f>
        <v>77538.37946000026</v>
      </c>
      <c r="Q239" s="206"/>
      <c r="R239" s="96"/>
      <c r="S239" s="206"/>
      <c r="T239" s="206"/>
      <c r="V239" s="105">
        <f>L239*0.6</f>
        <v>136008.90567600014</v>
      </c>
      <c r="W239" s="105">
        <f t="shared" si="65"/>
        <v>45336.301892000054</v>
      </c>
      <c r="X239" s="105">
        <f>L239-'раздел 4'!C244</f>
        <v>0</v>
      </c>
    </row>
    <row r="240" spans="1:24" ht="13.5">
      <c r="A240" s="307" t="s">
        <v>91</v>
      </c>
      <c r="B240" s="307"/>
      <c r="C240" s="207"/>
      <c r="D240" s="206"/>
      <c r="E240" s="206"/>
      <c r="F240" s="206"/>
      <c r="G240" s="206"/>
      <c r="H240" s="206"/>
      <c r="I240" s="206"/>
      <c r="J240" s="206"/>
      <c r="K240" s="99"/>
      <c r="L240" s="96">
        <f>SUM(L238:L239)</f>
        <v>77082373.45846002</v>
      </c>
      <c r="M240" s="96">
        <f>SUM(M238:M239)</f>
        <v>0</v>
      </c>
      <c r="N240" s="96">
        <f>SUM(N238:N239)</f>
        <v>43035140.836</v>
      </c>
      <c r="O240" s="96">
        <f>SUM(O238:O239)</f>
        <v>14966151.341999998</v>
      </c>
      <c r="P240" s="96">
        <f>SUM(P238:P239)</f>
        <v>19081081.280460004</v>
      </c>
      <c r="Q240" s="206"/>
      <c r="R240" s="96"/>
      <c r="S240" s="206"/>
      <c r="T240" s="206"/>
      <c r="U240" s="111">
        <f>P213+P189+(P174)+P123+P50+P173+P172+P171+P170+P169</f>
        <v>1843382.52</v>
      </c>
      <c r="X240" s="105">
        <f>L240-'раздел 4'!C245</f>
        <v>0</v>
      </c>
    </row>
    <row r="241" ht="13.5" hidden="1">
      <c r="L241" s="270">
        <f>L240-'раздел 4'!C245</f>
        <v>0</v>
      </c>
    </row>
    <row r="242" spans="14:16" ht="13.5" hidden="1">
      <c r="N242" s="270">
        <f>N19+N30</f>
        <v>3726626.44</v>
      </c>
      <c r="O242" s="270">
        <f>O19+O30</f>
        <v>1863313.2200000002</v>
      </c>
      <c r="P242" s="270">
        <f>P19+P30</f>
        <v>5174636.98</v>
      </c>
    </row>
    <row r="243" ht="13.5" hidden="1"/>
    <row r="244" ht="13.5" hidden="1"/>
  </sheetData>
  <sheetProtection/>
  <mergeCells count="142">
    <mergeCell ref="A17:E17"/>
    <mergeCell ref="F17:T17"/>
    <mergeCell ref="A20:B20"/>
    <mergeCell ref="A21:C21"/>
    <mergeCell ref="A168:C168"/>
    <mergeCell ref="A22:T22"/>
    <mergeCell ref="A93:B93"/>
    <mergeCell ref="F32:T32"/>
    <mergeCell ref="A89:C89"/>
    <mergeCell ref="A127:C127"/>
    <mergeCell ref="F215:T215"/>
    <mergeCell ref="A217:B217"/>
    <mergeCell ref="B211:T211"/>
    <mergeCell ref="A126:T126"/>
    <mergeCell ref="F127:T127"/>
    <mergeCell ref="A136:S136"/>
    <mergeCell ref="A144:B144"/>
    <mergeCell ref="A134:B134"/>
    <mergeCell ref="F156:T156"/>
    <mergeCell ref="A199:C199"/>
    <mergeCell ref="A225:B225"/>
    <mergeCell ref="A226:C226"/>
    <mergeCell ref="A150:C150"/>
    <mergeCell ref="A210:C210"/>
    <mergeCell ref="A220:B220"/>
    <mergeCell ref="A221:C221"/>
    <mergeCell ref="A178:B178"/>
    <mergeCell ref="A179:C179"/>
    <mergeCell ref="A196:C196"/>
    <mergeCell ref="A222:T222"/>
    <mergeCell ref="A240:B240"/>
    <mergeCell ref="B227:S227"/>
    <mergeCell ref="F231:T231"/>
    <mergeCell ref="A238:B238"/>
    <mergeCell ref="A237:B237"/>
    <mergeCell ref="A239:B239"/>
    <mergeCell ref="B230:T230"/>
    <mergeCell ref="A231:C231"/>
    <mergeCell ref="F218:T218"/>
    <mergeCell ref="A212:C212"/>
    <mergeCell ref="A147:B147"/>
    <mergeCell ref="A215:C215"/>
    <mergeCell ref="A165:C165"/>
    <mergeCell ref="A97:B97"/>
    <mergeCell ref="A137:C137"/>
    <mergeCell ref="A120:T120"/>
    <mergeCell ref="F205:T205"/>
    <mergeCell ref="A180:U180"/>
    <mergeCell ref="F8:T8"/>
    <mergeCell ref="F23:T23"/>
    <mergeCell ref="R2:R4"/>
    <mergeCell ref="A7:T7"/>
    <mergeCell ref="A23:E23"/>
    <mergeCell ref="A32:C32"/>
    <mergeCell ref="T2:T5"/>
    <mergeCell ref="A11:B11"/>
    <mergeCell ref="A26:B26"/>
    <mergeCell ref="A12:E12"/>
    <mergeCell ref="D1:Q1"/>
    <mergeCell ref="A2:A5"/>
    <mergeCell ref="B2:B5"/>
    <mergeCell ref="C2:D2"/>
    <mergeCell ref="E2:E5"/>
    <mergeCell ref="F2:F5"/>
    <mergeCell ref="G2:G5"/>
    <mergeCell ref="L2:P2"/>
    <mergeCell ref="Q2:Q4"/>
    <mergeCell ref="I3:I4"/>
    <mergeCell ref="L3:L4"/>
    <mergeCell ref="K2:K4"/>
    <mergeCell ref="J3:J4"/>
    <mergeCell ref="A167:B167"/>
    <mergeCell ref="I2:J2"/>
    <mergeCell ref="A8:E8"/>
    <mergeCell ref="A67:C67"/>
    <mergeCell ref="A42:B42"/>
    <mergeCell ref="A86:B86"/>
    <mergeCell ref="A94:C94"/>
    <mergeCell ref="C3:C5"/>
    <mergeCell ref="D3:D5"/>
    <mergeCell ref="A229:B229"/>
    <mergeCell ref="A218:C218"/>
    <mergeCell ref="F83:T83"/>
    <mergeCell ref="A214:B214"/>
    <mergeCell ref="F212:T212"/>
    <mergeCell ref="A209:B209"/>
    <mergeCell ref="S2:S5"/>
    <mergeCell ref="H2:H4"/>
    <mergeCell ref="F12:T12"/>
    <mergeCell ref="F98:T98"/>
    <mergeCell ref="A75:B75"/>
    <mergeCell ref="A60:B60"/>
    <mergeCell ref="F43:T43"/>
    <mergeCell ref="A14:B14"/>
    <mergeCell ref="A27:C27"/>
    <mergeCell ref="A15:C15"/>
    <mergeCell ref="A43:C43"/>
    <mergeCell ref="A16:T16"/>
    <mergeCell ref="A223:C223"/>
    <mergeCell ref="A184:C184"/>
    <mergeCell ref="A83:C83"/>
    <mergeCell ref="A36:B36"/>
    <mergeCell ref="A124:B124"/>
    <mergeCell ref="A76:C76"/>
    <mergeCell ref="A82:B82"/>
    <mergeCell ref="A156:C156"/>
    <mergeCell ref="A162:C162"/>
    <mergeCell ref="A87:C87"/>
    <mergeCell ref="F196:T196"/>
    <mergeCell ref="A195:B195"/>
    <mergeCell ref="A149:S149"/>
    <mergeCell ref="A205:C205"/>
    <mergeCell ref="A198:B198"/>
    <mergeCell ref="A135:C135"/>
    <mergeCell ref="A204:B204"/>
    <mergeCell ref="A176:C176"/>
    <mergeCell ref="A181:C181"/>
    <mergeCell ref="A145:C145"/>
    <mergeCell ref="A18:C18"/>
    <mergeCell ref="A61:C61"/>
    <mergeCell ref="A121:C121"/>
    <mergeCell ref="A175:B175"/>
    <mergeCell ref="A88:T88"/>
    <mergeCell ref="F199:T199"/>
    <mergeCell ref="A155:B155"/>
    <mergeCell ref="A118:B118"/>
    <mergeCell ref="A119:C119"/>
    <mergeCell ref="A125:C125"/>
    <mergeCell ref="A183:B183"/>
    <mergeCell ref="A161:B161"/>
    <mergeCell ref="A148:C148"/>
    <mergeCell ref="A98:C98"/>
    <mergeCell ref="F94:T94"/>
    <mergeCell ref="A38:T38"/>
    <mergeCell ref="A164:B164"/>
    <mergeCell ref="F150:T150"/>
    <mergeCell ref="A37:C37"/>
    <mergeCell ref="B28:T28"/>
    <mergeCell ref="A39:C39"/>
    <mergeCell ref="A66:B66"/>
    <mergeCell ref="A31:B31"/>
    <mergeCell ref="A29:C29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9"/>
  <sheetViews>
    <sheetView tabSelected="1" zoomScale="70" zoomScaleNormal="70" zoomScaleSheetLayoutView="80" zoomScalePageLayoutView="0" workbookViewId="0" topLeftCell="A1">
      <pane xSplit="5" ySplit="6" topLeftCell="U21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X245" sqref="X245"/>
    </sheetView>
  </sheetViews>
  <sheetFormatPr defaultColWidth="9.140625" defaultRowHeight="15"/>
  <cols>
    <col min="1" max="1" width="7.140625" style="21" customWidth="1"/>
    <col min="2" max="2" width="42.57421875" style="89" customWidth="1"/>
    <col min="3" max="3" width="21.28125" style="233" customWidth="1"/>
    <col min="4" max="4" width="17.7109375" style="233" customWidth="1"/>
    <col min="5" max="5" width="13.8515625" style="233" customWidth="1"/>
    <col min="6" max="6" width="15.140625" style="233" customWidth="1"/>
    <col min="7" max="7" width="14.28125" style="233" customWidth="1"/>
    <col min="8" max="8" width="12.28125" style="233" customWidth="1"/>
    <col min="9" max="9" width="14.28125" style="233" customWidth="1"/>
    <col min="10" max="10" width="6.57421875" style="233" customWidth="1"/>
    <col min="11" max="11" width="14.140625" style="233" customWidth="1"/>
    <col min="12" max="12" width="14.8515625" style="233" customWidth="1"/>
    <col min="13" max="13" width="15.7109375" style="233" customWidth="1"/>
    <col min="14" max="14" width="12.00390625" style="233" customWidth="1"/>
    <col min="15" max="15" width="12.140625" style="233" customWidth="1"/>
    <col min="16" max="16" width="9.7109375" style="233" customWidth="1"/>
    <col min="17" max="17" width="16.8515625" style="233" customWidth="1"/>
    <col min="18" max="19" width="12.8515625" style="233" customWidth="1"/>
    <col min="20" max="20" width="11.7109375" style="233" customWidth="1"/>
    <col min="21" max="21" width="13.421875" style="233" customWidth="1"/>
    <col min="22" max="22" width="8.140625" style="233" customWidth="1"/>
    <col min="23" max="23" width="21.421875" style="233" customWidth="1"/>
    <col min="24" max="24" width="18.140625" style="6" customWidth="1"/>
    <col min="25" max="25" width="15.7109375" style="6" hidden="1" customWidth="1"/>
    <col min="26" max="26" width="21.00390625" style="6" hidden="1" customWidth="1"/>
    <col min="27" max="27" width="15.28125" style="5" hidden="1" customWidth="1"/>
    <col min="28" max="28" width="15.28125" style="89" hidden="1" customWidth="1"/>
    <col min="29" max="29" width="15.421875" style="89" hidden="1" customWidth="1"/>
    <col min="30" max="30" width="18.7109375" style="89" hidden="1" customWidth="1"/>
    <col min="31" max="32" width="0" style="89" hidden="1" customWidth="1"/>
    <col min="33" max="16384" width="9.140625" style="89" customWidth="1"/>
  </cols>
  <sheetData>
    <row r="1" spans="1:26" ht="12.75">
      <c r="A1" s="321" t="s">
        <v>335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294"/>
      <c r="Z1" s="294"/>
    </row>
    <row r="2" ht="12.75"/>
    <row r="3" spans="1:26" ht="12.75" customHeight="1">
      <c r="A3" s="322" t="s">
        <v>40</v>
      </c>
      <c r="B3" s="325" t="s">
        <v>0</v>
      </c>
      <c r="C3" s="312" t="s">
        <v>41</v>
      </c>
      <c r="D3" s="328" t="s">
        <v>42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30"/>
      <c r="Y3" s="22"/>
      <c r="Z3" s="22"/>
    </row>
    <row r="4" spans="1:26" ht="12.75" customHeight="1">
      <c r="A4" s="323"/>
      <c r="B4" s="326"/>
      <c r="C4" s="313"/>
      <c r="D4" s="331" t="s">
        <v>43</v>
      </c>
      <c r="E4" s="332"/>
      <c r="F4" s="332"/>
      <c r="G4" s="332"/>
      <c r="H4" s="332"/>
      <c r="I4" s="333"/>
      <c r="J4" s="315" t="s">
        <v>44</v>
      </c>
      <c r="K4" s="316"/>
      <c r="L4" s="315" t="s">
        <v>45</v>
      </c>
      <c r="M4" s="316"/>
      <c r="N4" s="315" t="s">
        <v>46</v>
      </c>
      <c r="O4" s="316"/>
      <c r="P4" s="315" t="s">
        <v>47</v>
      </c>
      <c r="Q4" s="316"/>
      <c r="R4" s="315" t="s">
        <v>48</v>
      </c>
      <c r="S4" s="316"/>
      <c r="T4" s="315" t="s">
        <v>49</v>
      </c>
      <c r="U4" s="316"/>
      <c r="V4" s="312" t="s">
        <v>50</v>
      </c>
      <c r="W4" s="312" t="s">
        <v>51</v>
      </c>
      <c r="X4" s="325" t="s">
        <v>52</v>
      </c>
      <c r="Y4" s="325" t="s">
        <v>275</v>
      </c>
      <c r="Z4" s="325" t="s">
        <v>42</v>
      </c>
    </row>
    <row r="5" spans="1:26" ht="12.75" customHeight="1">
      <c r="A5" s="323"/>
      <c r="B5" s="326"/>
      <c r="C5" s="313"/>
      <c r="D5" s="312" t="s">
        <v>53</v>
      </c>
      <c r="E5" s="331" t="s">
        <v>54</v>
      </c>
      <c r="F5" s="332"/>
      <c r="G5" s="332"/>
      <c r="H5" s="332"/>
      <c r="I5" s="333"/>
      <c r="J5" s="317"/>
      <c r="K5" s="318"/>
      <c r="L5" s="317"/>
      <c r="M5" s="318"/>
      <c r="N5" s="317"/>
      <c r="O5" s="318"/>
      <c r="P5" s="317"/>
      <c r="Q5" s="318"/>
      <c r="R5" s="317"/>
      <c r="S5" s="318"/>
      <c r="T5" s="317"/>
      <c r="U5" s="318"/>
      <c r="V5" s="313"/>
      <c r="W5" s="313"/>
      <c r="X5" s="326"/>
      <c r="Y5" s="326"/>
      <c r="Z5" s="326"/>
    </row>
    <row r="6" spans="1:26" ht="60" customHeight="1">
      <c r="A6" s="323"/>
      <c r="B6" s="326"/>
      <c r="C6" s="314"/>
      <c r="D6" s="314"/>
      <c r="E6" s="19" t="s">
        <v>55</v>
      </c>
      <c r="F6" s="19" t="s">
        <v>56</v>
      </c>
      <c r="G6" s="19" t="s">
        <v>57</v>
      </c>
      <c r="H6" s="19" t="s">
        <v>58</v>
      </c>
      <c r="I6" s="19" t="s">
        <v>59</v>
      </c>
      <c r="J6" s="319"/>
      <c r="K6" s="320"/>
      <c r="L6" s="319"/>
      <c r="M6" s="320"/>
      <c r="N6" s="319"/>
      <c r="O6" s="320"/>
      <c r="P6" s="319"/>
      <c r="Q6" s="320"/>
      <c r="R6" s="319"/>
      <c r="S6" s="320"/>
      <c r="T6" s="319"/>
      <c r="U6" s="320"/>
      <c r="V6" s="314"/>
      <c r="W6" s="314"/>
      <c r="X6" s="327"/>
      <c r="Y6" s="327"/>
      <c r="Z6" s="327"/>
    </row>
    <row r="7" spans="1:27" s="2" customFormat="1" ht="12.75">
      <c r="A7" s="324"/>
      <c r="B7" s="327"/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60</v>
      </c>
      <c r="K7" s="19" t="s">
        <v>25</v>
      </c>
      <c r="L7" s="19" t="s">
        <v>61</v>
      </c>
      <c r="M7" s="19" t="s">
        <v>25</v>
      </c>
      <c r="N7" s="19" t="s">
        <v>61</v>
      </c>
      <c r="O7" s="19" t="s">
        <v>25</v>
      </c>
      <c r="P7" s="19" t="s">
        <v>61</v>
      </c>
      <c r="Q7" s="19" t="s">
        <v>25</v>
      </c>
      <c r="R7" s="19" t="s">
        <v>62</v>
      </c>
      <c r="S7" s="19" t="s">
        <v>25</v>
      </c>
      <c r="T7" s="19" t="s">
        <v>61</v>
      </c>
      <c r="U7" s="19" t="s">
        <v>25</v>
      </c>
      <c r="V7" s="19" t="s">
        <v>25</v>
      </c>
      <c r="W7" s="19" t="s">
        <v>25</v>
      </c>
      <c r="X7" s="15" t="s">
        <v>25</v>
      </c>
      <c r="Y7" s="295" t="s">
        <v>25</v>
      </c>
      <c r="Z7" s="15"/>
      <c r="AA7" s="7"/>
    </row>
    <row r="8" spans="1:27" s="2" customFormat="1" ht="12.75">
      <c r="A8" s="92">
        <v>1</v>
      </c>
      <c r="B8" s="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9">
        <v>23</v>
      </c>
      <c r="X8" s="9">
        <v>24</v>
      </c>
      <c r="Y8" s="9"/>
      <c r="Z8" s="9"/>
      <c r="AA8" s="7"/>
    </row>
    <row r="9" spans="1:27" s="2" customFormat="1" ht="12.75">
      <c r="A9" s="92"/>
      <c r="B9" s="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9"/>
      <c r="Y9" s="9"/>
      <c r="Z9" s="9"/>
      <c r="AA9" s="7"/>
    </row>
    <row r="10" spans="1:27" ht="12.75" customHeight="1">
      <c r="A10" s="334" t="s">
        <v>63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298"/>
      <c r="Z10" s="298"/>
      <c r="AA10" s="10"/>
    </row>
    <row r="11" spans="1:29" ht="12.75" customHeight="1">
      <c r="A11" s="307" t="s">
        <v>65</v>
      </c>
      <c r="B11" s="307"/>
      <c r="C11" s="307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292"/>
      <c r="Z11" s="292"/>
      <c r="AA11" s="91"/>
      <c r="AB11" s="90"/>
      <c r="AC11" s="90"/>
    </row>
    <row r="12" spans="1:30" ht="15">
      <c r="A12" s="92">
        <f>1</f>
        <v>1</v>
      </c>
      <c r="B12" s="100" t="s">
        <v>130</v>
      </c>
      <c r="C12" s="18">
        <f>D12+K12+M12+O12+Q12+S12+U12+V12+W12+X12</f>
        <v>161189.99</v>
      </c>
      <c r="D12" s="19">
        <f>E12+F12+G12+H12+I12</f>
        <v>0</v>
      </c>
      <c r="E12" s="19"/>
      <c r="F12" s="19"/>
      <c r="G12" s="19"/>
      <c r="H12" s="19"/>
      <c r="I12" s="19"/>
      <c r="J12" s="19"/>
      <c r="K12" s="19"/>
      <c r="L12" s="305"/>
      <c r="M12" s="305"/>
      <c r="N12" s="19"/>
      <c r="O12" s="19"/>
      <c r="P12" s="19"/>
      <c r="Q12" s="19"/>
      <c r="R12" s="19"/>
      <c r="S12" s="19"/>
      <c r="T12" s="19"/>
      <c r="U12" s="19"/>
      <c r="V12" s="19"/>
      <c r="W12" s="19">
        <f>Y12</f>
        <v>161189.99</v>
      </c>
      <c r="X12" s="304"/>
      <c r="Y12" s="304">
        <v>161189.99</v>
      </c>
      <c r="Z12" s="304" t="s">
        <v>276</v>
      </c>
      <c r="AA12" s="10"/>
      <c r="AB12" s="90"/>
      <c r="AC12" s="90" t="s">
        <v>184</v>
      </c>
      <c r="AD12" s="90"/>
    </row>
    <row r="13" spans="1:30" ht="15">
      <c r="A13" s="92">
        <f>A12+1</f>
        <v>2</v>
      </c>
      <c r="B13" s="100" t="s">
        <v>131</v>
      </c>
      <c r="C13" s="18">
        <f>D13+K13+M13+O13+Q13+S13+U13+V13+W13+X13</f>
        <v>199288.48</v>
      </c>
      <c r="D13" s="19">
        <f>E13+F13+G13+H13+I13</f>
        <v>0</v>
      </c>
      <c r="E13" s="19"/>
      <c r="F13" s="19"/>
      <c r="G13" s="19"/>
      <c r="H13" s="19"/>
      <c r="I13" s="19"/>
      <c r="J13" s="19"/>
      <c r="K13" s="19"/>
      <c r="L13" s="305"/>
      <c r="M13" s="305"/>
      <c r="N13" s="19"/>
      <c r="O13" s="19"/>
      <c r="P13" s="19"/>
      <c r="Q13" s="19"/>
      <c r="R13" s="19"/>
      <c r="S13" s="19"/>
      <c r="T13" s="19"/>
      <c r="U13" s="19"/>
      <c r="V13" s="19"/>
      <c r="W13" s="19">
        <f>Y13</f>
        <v>199288.48</v>
      </c>
      <c r="X13" s="304"/>
      <c r="Y13" s="304">
        <v>199288.48</v>
      </c>
      <c r="Z13" s="304" t="s">
        <v>276</v>
      </c>
      <c r="AA13" s="10"/>
      <c r="AB13" s="90"/>
      <c r="AC13" s="90" t="s">
        <v>184</v>
      </c>
      <c r="AD13" s="90"/>
    </row>
    <row r="14" spans="1:30" ht="12.75" customHeight="1">
      <c r="A14" s="308" t="s">
        <v>64</v>
      </c>
      <c r="B14" s="308"/>
      <c r="C14" s="18">
        <f>SUM(C12:C13)</f>
        <v>360478.47</v>
      </c>
      <c r="D14" s="18">
        <f aca="true" t="shared" si="0" ref="D14:W14">SUM(D12:D13)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360478.47</v>
      </c>
      <c r="X14" s="306">
        <f>C14-W14</f>
        <v>0</v>
      </c>
      <c r="Y14" s="306"/>
      <c r="Z14" s="306"/>
      <c r="AA14" s="91">
        <f>E14+F14+G14+H14+I14+K14+M14+O14+Q14+S14+U14+W14+V14+X14</f>
        <v>360478.47</v>
      </c>
      <c r="AB14" s="90">
        <f>AA14-C14</f>
        <v>0</v>
      </c>
      <c r="AC14" s="90"/>
      <c r="AD14" s="90"/>
    </row>
    <row r="15" spans="1:29" ht="17.25" customHeight="1">
      <c r="A15" s="263" t="s">
        <v>66</v>
      </c>
      <c r="B15" s="264"/>
      <c r="C15" s="266"/>
      <c r="D15" s="267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5"/>
      <c r="Y15" s="304"/>
      <c r="Z15" s="304"/>
      <c r="AA15" s="91"/>
      <c r="AB15" s="90"/>
      <c r="AC15" s="90"/>
    </row>
    <row r="16" spans="1:29" ht="12.75" customHeight="1">
      <c r="A16" s="179">
        <f>A13+1</f>
        <v>3</v>
      </c>
      <c r="B16" s="210" t="s">
        <v>117</v>
      </c>
      <c r="C16" s="18">
        <f>D16+K16+M16+O16+Q16+S16+U16+V16+W16+X16</f>
        <v>1231533.03</v>
      </c>
      <c r="D16" s="19">
        <f>E16+F16+G16+H16+I16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24">
        <f>Y16</f>
        <v>1231533.03</v>
      </c>
      <c r="X16" s="304"/>
      <c r="Y16" s="304">
        <f>850537.13+380995.9</f>
        <v>1231533.03</v>
      </c>
      <c r="Z16" s="304" t="s">
        <v>281</v>
      </c>
      <c r="AA16" s="91" t="s">
        <v>188</v>
      </c>
      <c r="AB16" s="90"/>
      <c r="AC16" s="90"/>
    </row>
    <row r="17" spans="1:30" ht="12.75" customHeight="1">
      <c r="A17" s="308" t="s">
        <v>64</v>
      </c>
      <c r="B17" s="308"/>
      <c r="C17" s="18">
        <f aca="true" t="shared" si="1" ref="C17:X17">SUM(C16:C16)</f>
        <v>1231533.03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1231533.03</v>
      </c>
      <c r="X17" s="306">
        <f t="shared" si="1"/>
        <v>0</v>
      </c>
      <c r="Y17" s="306"/>
      <c r="Z17" s="306"/>
      <c r="AA17" s="91">
        <f>E17+F17+G17+H17+I17+K17+M17+O17+Q17+S17+U17+W17+V17+X17</f>
        <v>1231533.03</v>
      </c>
      <c r="AB17" s="90">
        <f>AA17-C17</f>
        <v>0</v>
      </c>
      <c r="AC17" s="90"/>
      <c r="AD17" s="90"/>
    </row>
    <row r="18" spans="1:30" ht="12.75" customHeight="1">
      <c r="A18" s="307" t="s">
        <v>67</v>
      </c>
      <c r="B18" s="307"/>
      <c r="C18" s="225">
        <f>C14+C17</f>
        <v>1592011.5</v>
      </c>
      <c r="D18" s="225">
        <f aca="true" t="shared" si="2" ref="D18:V18">D14+D17</f>
        <v>0</v>
      </c>
      <c r="E18" s="225">
        <f t="shared" si="2"/>
        <v>0</v>
      </c>
      <c r="F18" s="225">
        <f t="shared" si="2"/>
        <v>0</v>
      </c>
      <c r="G18" s="225">
        <f t="shared" si="2"/>
        <v>0</v>
      </c>
      <c r="H18" s="225">
        <f t="shared" si="2"/>
        <v>0</v>
      </c>
      <c r="I18" s="225">
        <f t="shared" si="2"/>
        <v>0</v>
      </c>
      <c r="J18" s="225">
        <f t="shared" si="2"/>
        <v>0</v>
      </c>
      <c r="K18" s="225">
        <f t="shared" si="2"/>
        <v>0</v>
      </c>
      <c r="L18" s="225">
        <f t="shared" si="2"/>
        <v>0</v>
      </c>
      <c r="M18" s="225">
        <f t="shared" si="2"/>
        <v>0</v>
      </c>
      <c r="N18" s="225">
        <f t="shared" si="2"/>
        <v>0</v>
      </c>
      <c r="O18" s="225">
        <f t="shared" si="2"/>
        <v>0</v>
      </c>
      <c r="P18" s="225">
        <f t="shared" si="2"/>
        <v>0</v>
      </c>
      <c r="Q18" s="225">
        <f t="shared" si="2"/>
        <v>0</v>
      </c>
      <c r="R18" s="225">
        <f t="shared" si="2"/>
        <v>0</v>
      </c>
      <c r="S18" s="225">
        <f t="shared" si="2"/>
        <v>0</v>
      </c>
      <c r="T18" s="225">
        <f t="shared" si="2"/>
        <v>0</v>
      </c>
      <c r="U18" s="225">
        <f t="shared" si="2"/>
        <v>0</v>
      </c>
      <c r="V18" s="225">
        <f t="shared" si="2"/>
        <v>0</v>
      </c>
      <c r="W18" s="225">
        <f>W14+W17</f>
        <v>1592011.5</v>
      </c>
      <c r="X18" s="306">
        <f>C18-W18</f>
        <v>0</v>
      </c>
      <c r="Y18" s="298"/>
      <c r="Z18" s="298"/>
      <c r="AA18" s="91"/>
      <c r="AB18" s="90"/>
      <c r="AC18" s="90"/>
      <c r="AD18" s="90"/>
    </row>
    <row r="19" spans="1:27" ht="21" customHeight="1">
      <c r="A19" s="335" t="s">
        <v>353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7"/>
      <c r="Y19" s="91"/>
      <c r="Z19" s="90">
        <f>E19+F19+G19+H19+I19+K19+M19+O19+Q19+S19+U19+V19+W19+X19</f>
        <v>0</v>
      </c>
      <c r="AA19" s="90">
        <f>Z19-C19</f>
        <v>0</v>
      </c>
    </row>
    <row r="20" spans="1:27" ht="21" customHeight="1">
      <c r="A20" s="341" t="s">
        <v>354</v>
      </c>
      <c r="B20" s="342"/>
      <c r="C20" s="345"/>
      <c r="D20" s="335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7"/>
      <c r="Y20" s="91"/>
      <c r="Z20" s="90">
        <f>E20+F20+G20+H20+I20+K20+M20+O20+Q20+S20+U20+V20+W20+X20</f>
        <v>0</v>
      </c>
      <c r="AA20" s="90">
        <f>Z20-C20</f>
        <v>0</v>
      </c>
    </row>
    <row r="21" spans="1:27" ht="16.5" customHeight="1">
      <c r="A21" s="8">
        <f>A16+1</f>
        <v>4</v>
      </c>
      <c r="B21" s="24" t="s">
        <v>355</v>
      </c>
      <c r="C21" s="18">
        <f>D21+K21+M21+O21+Q21+S21+U21+V21+W21+X21</f>
        <v>1880962.48</v>
      </c>
      <c r="D21" s="18"/>
      <c r="E21" s="18"/>
      <c r="F21" s="18"/>
      <c r="G21" s="18"/>
      <c r="H21" s="18"/>
      <c r="I21" s="18"/>
      <c r="J21" s="18"/>
      <c r="K21" s="18"/>
      <c r="L21" s="18">
        <v>1315</v>
      </c>
      <c r="M21" s="18">
        <v>1880962.48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06"/>
      <c r="Y21" s="91"/>
      <c r="Z21" s="90">
        <f>E21+F21+G21+H21+I21+K21+M21+O21+Q21+S21+U21+V21+W21+X21</f>
        <v>1880962.48</v>
      </c>
      <c r="AA21" s="90">
        <f>Z21-C21</f>
        <v>0</v>
      </c>
    </row>
    <row r="22" spans="1:28" ht="21" customHeight="1">
      <c r="A22" s="310" t="s">
        <v>64</v>
      </c>
      <c r="B22" s="311"/>
      <c r="C22" s="19">
        <f>SUM(C21:C21)</f>
        <v>1880962.48</v>
      </c>
      <c r="D22" s="19"/>
      <c r="E22" s="19"/>
      <c r="F22" s="19"/>
      <c r="G22" s="19"/>
      <c r="H22" s="19"/>
      <c r="I22" s="19"/>
      <c r="J22" s="19"/>
      <c r="K22" s="19"/>
      <c r="L22" s="19">
        <f>SUM(L21:L21)</f>
        <v>1315</v>
      </c>
      <c r="M22" s="19">
        <f>SUM(M21:M21)</f>
        <v>1880962.48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304"/>
      <c r="Y22" s="91"/>
      <c r="Z22" s="90">
        <f>E22+F22+G22+H22+I22+K22+M22+O22+Q22+S22+U22+V22+W22+X22</f>
        <v>1880962.48</v>
      </c>
      <c r="AA22" s="90">
        <f>Z22-C22</f>
        <v>0</v>
      </c>
      <c r="AB22" s="90"/>
    </row>
    <row r="23" spans="1:30" ht="12.75">
      <c r="A23" s="307" t="s">
        <v>356</v>
      </c>
      <c r="B23" s="307"/>
      <c r="C23" s="225">
        <f aca="true" t="shared" si="3" ref="C23:W23">C22</f>
        <v>1880962.48</v>
      </c>
      <c r="D23" s="225">
        <f t="shared" si="3"/>
        <v>0</v>
      </c>
      <c r="E23" s="225">
        <f t="shared" si="3"/>
        <v>0</v>
      </c>
      <c r="F23" s="225">
        <f t="shared" si="3"/>
        <v>0</v>
      </c>
      <c r="G23" s="225">
        <f t="shared" si="3"/>
        <v>0</v>
      </c>
      <c r="H23" s="225">
        <f t="shared" si="3"/>
        <v>0</v>
      </c>
      <c r="I23" s="225">
        <f t="shared" si="3"/>
        <v>0</v>
      </c>
      <c r="J23" s="225">
        <f t="shared" si="3"/>
        <v>0</v>
      </c>
      <c r="K23" s="225">
        <f t="shared" si="3"/>
        <v>0</v>
      </c>
      <c r="L23" s="225">
        <f t="shared" si="3"/>
        <v>1315</v>
      </c>
      <c r="M23" s="225">
        <f t="shared" si="3"/>
        <v>1880962.48</v>
      </c>
      <c r="N23" s="225">
        <f t="shared" si="3"/>
        <v>0</v>
      </c>
      <c r="O23" s="225">
        <f t="shared" si="3"/>
        <v>0</v>
      </c>
      <c r="P23" s="225">
        <f t="shared" si="3"/>
        <v>0</v>
      </c>
      <c r="Q23" s="225">
        <f t="shared" si="3"/>
        <v>0</v>
      </c>
      <c r="R23" s="225">
        <f t="shared" si="3"/>
        <v>0</v>
      </c>
      <c r="S23" s="225">
        <f t="shared" si="3"/>
        <v>0</v>
      </c>
      <c r="T23" s="225">
        <f t="shared" si="3"/>
        <v>0</v>
      </c>
      <c r="U23" s="225">
        <f t="shared" si="3"/>
        <v>0</v>
      </c>
      <c r="V23" s="225">
        <f t="shared" si="3"/>
        <v>0</v>
      </c>
      <c r="W23" s="225">
        <f t="shared" si="3"/>
        <v>0</v>
      </c>
      <c r="X23" s="306">
        <f>C23-W23</f>
        <v>1880962.48</v>
      </c>
      <c r="Y23" s="298"/>
      <c r="Z23" s="298"/>
      <c r="AA23" s="91"/>
      <c r="AB23" s="90"/>
      <c r="AC23" s="90"/>
      <c r="AD23" s="90"/>
    </row>
    <row r="24" spans="1:28" ht="12.75" customHeight="1">
      <c r="A24" s="334" t="s">
        <v>68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298"/>
      <c r="Z24" s="298"/>
      <c r="AA24" s="91"/>
      <c r="AB24" s="90"/>
    </row>
    <row r="25" spans="1:30" ht="12.75" customHeight="1">
      <c r="A25" s="307" t="s">
        <v>258</v>
      </c>
      <c r="B25" s="307"/>
      <c r="C25" s="307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292"/>
      <c r="Z25" s="292"/>
      <c r="AA25" s="91"/>
      <c r="AB25" s="90"/>
      <c r="AC25" s="90"/>
      <c r="AD25" s="90"/>
    </row>
    <row r="26" spans="1:30" ht="12.75">
      <c r="A26" s="92">
        <f>A21+1</f>
        <v>5</v>
      </c>
      <c r="B26" s="24" t="s">
        <v>111</v>
      </c>
      <c r="C26" s="18">
        <f>D26+K26+M26+O26+Q26+S26+U26+V26+W26+X26</f>
        <v>177334.78</v>
      </c>
      <c r="D26" s="17">
        <f>E26+F26+G26+H26+I26</f>
        <v>0</v>
      </c>
      <c r="E26" s="18"/>
      <c r="F26" s="18"/>
      <c r="G26" s="18"/>
      <c r="H26" s="18"/>
      <c r="I26" s="18"/>
      <c r="J26" s="18"/>
      <c r="K26" s="18"/>
      <c r="L26" s="235"/>
      <c r="M26" s="19"/>
      <c r="N26" s="235"/>
      <c r="O26" s="235"/>
      <c r="P26" s="235"/>
      <c r="Q26" s="18"/>
      <c r="R26" s="18"/>
      <c r="S26" s="18"/>
      <c r="T26" s="18"/>
      <c r="U26" s="18"/>
      <c r="V26" s="18"/>
      <c r="W26" s="18">
        <f>Y26</f>
        <v>177334.78</v>
      </c>
      <c r="X26" s="306"/>
      <c r="Y26" s="306">
        <v>177334.78</v>
      </c>
      <c r="Z26" s="306" t="s">
        <v>282</v>
      </c>
      <c r="AA26" s="91"/>
      <c r="AB26" s="90"/>
      <c r="AC26" s="90" t="s">
        <v>184</v>
      </c>
      <c r="AD26" s="90"/>
    </row>
    <row r="27" spans="1:30" ht="12.75">
      <c r="A27" s="92">
        <f>A26+1</f>
        <v>6</v>
      </c>
      <c r="B27" s="24" t="s">
        <v>112</v>
      </c>
      <c r="C27" s="18">
        <f>D27+K27+M27+O27+Q27+S27+U27+V27+W27+X27</f>
        <v>176028.77</v>
      </c>
      <c r="D27" s="17">
        <f>E27+F27+G27+H27+I27</f>
        <v>0</v>
      </c>
      <c r="E27" s="18"/>
      <c r="F27" s="18"/>
      <c r="G27" s="18"/>
      <c r="H27" s="18"/>
      <c r="I27" s="18"/>
      <c r="J27" s="18"/>
      <c r="K27" s="18"/>
      <c r="L27" s="235"/>
      <c r="M27" s="19"/>
      <c r="N27" s="235"/>
      <c r="O27" s="235"/>
      <c r="P27" s="235"/>
      <c r="Q27" s="18"/>
      <c r="R27" s="18"/>
      <c r="S27" s="18"/>
      <c r="T27" s="18"/>
      <c r="U27" s="18"/>
      <c r="V27" s="18"/>
      <c r="W27" s="18">
        <f>Y27</f>
        <v>176028.77</v>
      </c>
      <c r="X27" s="306"/>
      <c r="Y27" s="306">
        <v>176028.77</v>
      </c>
      <c r="Z27" s="306" t="s">
        <v>282</v>
      </c>
      <c r="AA27" s="91"/>
      <c r="AB27" s="90"/>
      <c r="AC27" s="90" t="s">
        <v>184</v>
      </c>
      <c r="AD27" s="90"/>
    </row>
    <row r="28" spans="1:30" ht="12.75">
      <c r="A28" s="308" t="s">
        <v>64</v>
      </c>
      <c r="B28" s="308"/>
      <c r="C28" s="18">
        <f aca="true" t="shared" si="4" ref="C28:X28">SUM(C26:C27)</f>
        <v>353363.55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353363.55</v>
      </c>
      <c r="X28" s="306">
        <f t="shared" si="4"/>
        <v>0</v>
      </c>
      <c r="Y28" s="306"/>
      <c r="Z28" s="306"/>
      <c r="AA28" s="91">
        <f>E28+F28+G28+H28+I28+K28+M28+O28+Q28+S28+U28+W28+V28+X28</f>
        <v>353363.55</v>
      </c>
      <c r="AB28" s="90">
        <f>AA28-C28</f>
        <v>0</v>
      </c>
      <c r="AC28" s="90"/>
      <c r="AD28" s="90"/>
    </row>
    <row r="29" spans="1:30" ht="12.75">
      <c r="A29" s="307" t="s">
        <v>69</v>
      </c>
      <c r="B29" s="307"/>
      <c r="C29" s="225">
        <f>C28</f>
        <v>353363.55</v>
      </c>
      <c r="D29" s="225">
        <f aca="true" t="shared" si="5" ref="D29:W29">D28</f>
        <v>0</v>
      </c>
      <c r="E29" s="225">
        <f t="shared" si="5"/>
        <v>0</v>
      </c>
      <c r="F29" s="225">
        <f t="shared" si="5"/>
        <v>0</v>
      </c>
      <c r="G29" s="225">
        <f t="shared" si="5"/>
        <v>0</v>
      </c>
      <c r="H29" s="225">
        <f t="shared" si="5"/>
        <v>0</v>
      </c>
      <c r="I29" s="225">
        <f t="shared" si="5"/>
        <v>0</v>
      </c>
      <c r="J29" s="225">
        <f t="shared" si="5"/>
        <v>0</v>
      </c>
      <c r="K29" s="225">
        <f t="shared" si="5"/>
        <v>0</v>
      </c>
      <c r="L29" s="225">
        <f t="shared" si="5"/>
        <v>0</v>
      </c>
      <c r="M29" s="225">
        <f t="shared" si="5"/>
        <v>0</v>
      </c>
      <c r="N29" s="225">
        <f t="shared" si="5"/>
        <v>0</v>
      </c>
      <c r="O29" s="225">
        <f t="shared" si="5"/>
        <v>0</v>
      </c>
      <c r="P29" s="225">
        <f t="shared" si="5"/>
        <v>0</v>
      </c>
      <c r="Q29" s="225">
        <f t="shared" si="5"/>
        <v>0</v>
      </c>
      <c r="R29" s="225">
        <f t="shared" si="5"/>
        <v>0</v>
      </c>
      <c r="S29" s="225">
        <f t="shared" si="5"/>
        <v>0</v>
      </c>
      <c r="T29" s="225">
        <f t="shared" si="5"/>
        <v>0</v>
      </c>
      <c r="U29" s="225">
        <f t="shared" si="5"/>
        <v>0</v>
      </c>
      <c r="V29" s="225">
        <f t="shared" si="5"/>
        <v>0</v>
      </c>
      <c r="W29" s="225">
        <f t="shared" si="5"/>
        <v>353363.55</v>
      </c>
      <c r="X29" s="306">
        <f>C29-W29</f>
        <v>0</v>
      </c>
      <c r="Y29" s="298"/>
      <c r="Z29" s="298"/>
      <c r="AA29" s="91"/>
      <c r="AB29" s="90"/>
      <c r="AC29" s="90"/>
      <c r="AD29" s="90"/>
    </row>
    <row r="30" spans="1:30" ht="12.75">
      <c r="A30" s="334" t="s">
        <v>357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298"/>
      <c r="Z30" s="298"/>
      <c r="AA30" s="91"/>
      <c r="AB30" s="90"/>
      <c r="AC30" s="90"/>
      <c r="AD30" s="90"/>
    </row>
    <row r="31" spans="1:30" ht="12.75" customHeight="1">
      <c r="A31" s="338" t="s">
        <v>351</v>
      </c>
      <c r="B31" s="339"/>
      <c r="C31" s="340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98"/>
      <c r="Y31" s="298"/>
      <c r="Z31" s="298"/>
      <c r="AA31" s="91"/>
      <c r="AB31" s="90"/>
      <c r="AC31" s="10"/>
      <c r="AD31" s="10"/>
    </row>
    <row r="32" spans="1:30" ht="12.75" customHeight="1">
      <c r="A32" s="179">
        <f>A27+1</f>
        <v>7</v>
      </c>
      <c r="B32" s="24" t="s">
        <v>352</v>
      </c>
      <c r="C32" s="18">
        <f>D32+K32+M32+O32+Q32+S32+U32+V32+W32+X32</f>
        <v>8883614.16</v>
      </c>
      <c r="D32" s="18">
        <f>E32+F32+G32+H32+I32</f>
        <v>0</v>
      </c>
      <c r="E32" s="19"/>
      <c r="F32" s="19"/>
      <c r="G32" s="19"/>
      <c r="H32" s="19"/>
      <c r="I32" s="19"/>
      <c r="J32" s="19"/>
      <c r="K32" s="19"/>
      <c r="L32" s="19"/>
      <c r="M32" s="18"/>
      <c r="N32" s="19"/>
      <c r="O32" s="19"/>
      <c r="P32" s="19">
        <v>4617</v>
      </c>
      <c r="Q32" s="19">
        <v>7679285.42</v>
      </c>
      <c r="R32" s="19"/>
      <c r="S32" s="19"/>
      <c r="T32" s="19"/>
      <c r="U32" s="19"/>
      <c r="V32" s="19"/>
      <c r="W32" s="19">
        <v>1204328.74</v>
      </c>
      <c r="X32" s="304"/>
      <c r="Y32" s="91"/>
      <c r="Z32" s="90">
        <f>E32+F32+G32+H32+I32+K32+M32+O32+Q32+S32+U32+V32+W32+X32</f>
        <v>8883614.16</v>
      </c>
      <c r="AA32" s="91"/>
      <c r="AB32" s="90"/>
      <c r="AC32" s="10"/>
      <c r="AD32" s="10"/>
    </row>
    <row r="33" spans="1:30" ht="12.75">
      <c r="A33" s="308" t="s">
        <v>64</v>
      </c>
      <c r="B33" s="308"/>
      <c r="C33" s="18">
        <f>SUM(C32)</f>
        <v>8883614.16</v>
      </c>
      <c r="D33" s="18">
        <f aca="true" t="shared" si="6" ref="D33:X33">SUM(D31:D32)</f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4617</v>
      </c>
      <c r="Q33" s="18">
        <f t="shared" si="6"/>
        <v>7679285.42</v>
      </c>
      <c r="R33" s="18">
        <f t="shared" si="6"/>
        <v>0</v>
      </c>
      <c r="S33" s="18">
        <f t="shared" si="6"/>
        <v>0</v>
      </c>
      <c r="T33" s="18">
        <f t="shared" si="6"/>
        <v>0</v>
      </c>
      <c r="U33" s="18">
        <f t="shared" si="6"/>
        <v>0</v>
      </c>
      <c r="V33" s="18">
        <f t="shared" si="6"/>
        <v>0</v>
      </c>
      <c r="W33" s="18">
        <f t="shared" si="6"/>
        <v>1204328.74</v>
      </c>
      <c r="X33" s="306">
        <f t="shared" si="6"/>
        <v>0</v>
      </c>
      <c r="Y33" s="306"/>
      <c r="Z33" s="306"/>
      <c r="AA33" s="91">
        <f>E33+F33+G33+H33+I33+K33+M33+O33+Q33+S33+U33+W33+V33+X33</f>
        <v>8883614.16</v>
      </c>
      <c r="AB33" s="90">
        <f>AA33-C33</f>
        <v>0</v>
      </c>
      <c r="AC33" s="90"/>
      <c r="AD33" s="90"/>
    </row>
    <row r="34" spans="1:30" ht="12.75" customHeight="1">
      <c r="A34" s="307" t="s">
        <v>196</v>
      </c>
      <c r="B34" s="307"/>
      <c r="C34" s="307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292"/>
      <c r="Z34" s="292"/>
      <c r="AA34" s="91"/>
      <c r="AB34" s="90"/>
      <c r="AC34" s="10"/>
      <c r="AD34" s="10"/>
    </row>
    <row r="35" spans="1:30" ht="12.75" customHeight="1">
      <c r="A35" s="179">
        <f>A32+1</f>
        <v>8</v>
      </c>
      <c r="B35" s="28" t="s">
        <v>194</v>
      </c>
      <c r="C35" s="18">
        <f>D35+K35+M35+O35+Q35+S35+U35+V35+W35+X35</f>
        <v>507701.51</v>
      </c>
      <c r="D35" s="17">
        <f>E35+F35+G35+H35+I35</f>
        <v>0</v>
      </c>
      <c r="E35" s="19"/>
      <c r="F35" s="19"/>
      <c r="G35" s="19"/>
      <c r="H35" s="19"/>
      <c r="I35" s="19"/>
      <c r="J35" s="18"/>
      <c r="K35" s="236"/>
      <c r="L35" s="19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>
        <f>Y35</f>
        <v>507701.51</v>
      </c>
      <c r="X35" s="304"/>
      <c r="Y35" s="304">
        <f>507701.51</f>
        <v>507701.51</v>
      </c>
      <c r="Z35" s="304" t="s">
        <v>283</v>
      </c>
      <c r="AA35" s="91"/>
      <c r="AB35" s="90"/>
      <c r="AC35" s="90"/>
      <c r="AD35" s="10"/>
    </row>
    <row r="36" spans="1:30" ht="12.75" customHeight="1">
      <c r="A36" s="179">
        <f>A35+1</f>
        <v>9</v>
      </c>
      <c r="B36" s="28" t="s">
        <v>195</v>
      </c>
      <c r="C36" s="18">
        <f>D36+K36+M36+O36+Q36+S36+U36+V36+W36+X36</f>
        <v>939646.37</v>
      </c>
      <c r="D36" s="17">
        <f>E36+F36+G36+H36+I36</f>
        <v>0</v>
      </c>
      <c r="E36" s="19"/>
      <c r="F36" s="19"/>
      <c r="G36" s="19"/>
      <c r="H36" s="19"/>
      <c r="I36" s="19"/>
      <c r="J36" s="18"/>
      <c r="K36" s="236"/>
      <c r="L36" s="19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>
        <f>Y36</f>
        <v>939646.37</v>
      </c>
      <c r="X36" s="304"/>
      <c r="Y36" s="304">
        <f>939646.37</f>
        <v>939646.37</v>
      </c>
      <c r="Z36" s="304" t="s">
        <v>283</v>
      </c>
      <c r="AA36" s="91"/>
      <c r="AB36" s="90"/>
      <c r="AC36" s="90"/>
      <c r="AD36" s="10"/>
    </row>
    <row r="37" spans="1:30" ht="12.75" customHeight="1">
      <c r="A37" s="179">
        <f>A36+1</f>
        <v>10</v>
      </c>
      <c r="B37" s="28" t="s">
        <v>198</v>
      </c>
      <c r="C37" s="18">
        <f>D37+K37+M37+O37+Q37+S37+U37+V37+W37+X37</f>
        <v>347522.67</v>
      </c>
      <c r="D37" s="17">
        <f>E37+F37+G37+H37+I37</f>
        <v>0</v>
      </c>
      <c r="E37" s="19"/>
      <c r="F37" s="19"/>
      <c r="G37" s="19"/>
      <c r="H37" s="19"/>
      <c r="I37" s="19"/>
      <c r="J37" s="18"/>
      <c r="K37" s="236"/>
      <c r="L37" s="18"/>
      <c r="M37" s="236"/>
      <c r="N37" s="19"/>
      <c r="O37" s="19"/>
      <c r="P37" s="19"/>
      <c r="Q37" s="19"/>
      <c r="R37" s="19"/>
      <c r="S37" s="19"/>
      <c r="T37" s="19"/>
      <c r="U37" s="19"/>
      <c r="V37" s="19"/>
      <c r="W37" s="19">
        <f>Y37</f>
        <v>347522.67</v>
      </c>
      <c r="X37" s="304"/>
      <c r="Y37" s="304">
        <v>347522.67</v>
      </c>
      <c r="Z37" s="304" t="s">
        <v>284</v>
      </c>
      <c r="AA37" s="91"/>
      <c r="AB37" s="90"/>
      <c r="AC37" s="90" t="s">
        <v>199</v>
      </c>
      <c r="AD37" s="10"/>
    </row>
    <row r="38" spans="1:30" ht="12.75" customHeight="1">
      <c r="A38" s="308" t="s">
        <v>64</v>
      </c>
      <c r="B38" s="308"/>
      <c r="C38" s="19">
        <f>SUM(C35:C37)</f>
        <v>1794870.5499999998</v>
      </c>
      <c r="D38" s="19">
        <f aca="true" t="shared" si="7" ref="D38:W38">SUM(D35:D37)</f>
        <v>0</v>
      </c>
      <c r="E38" s="19">
        <f t="shared" si="7"/>
        <v>0</v>
      </c>
      <c r="F38" s="19">
        <f t="shared" si="7"/>
        <v>0</v>
      </c>
      <c r="G38" s="19">
        <f t="shared" si="7"/>
        <v>0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19">
        <f t="shared" si="7"/>
        <v>0</v>
      </c>
      <c r="O38" s="19">
        <f t="shared" si="7"/>
        <v>0</v>
      </c>
      <c r="P38" s="19">
        <f t="shared" si="7"/>
        <v>0</v>
      </c>
      <c r="Q38" s="19">
        <f t="shared" si="7"/>
        <v>0</v>
      </c>
      <c r="R38" s="19">
        <f t="shared" si="7"/>
        <v>0</v>
      </c>
      <c r="S38" s="19">
        <f t="shared" si="7"/>
        <v>0</v>
      </c>
      <c r="T38" s="19">
        <f t="shared" si="7"/>
        <v>0</v>
      </c>
      <c r="U38" s="19">
        <f t="shared" si="7"/>
        <v>0</v>
      </c>
      <c r="V38" s="19">
        <f t="shared" si="7"/>
        <v>0</v>
      </c>
      <c r="W38" s="19">
        <f t="shared" si="7"/>
        <v>1794870.5499999998</v>
      </c>
      <c r="X38" s="306">
        <f>C38-W38</f>
        <v>0</v>
      </c>
      <c r="Y38" s="304"/>
      <c r="Z38" s="304"/>
      <c r="AA38" s="91">
        <f>E38+F38+G38+H38+I38+K38+M38+O38+Q38+S38+U38+W38+V38+X38</f>
        <v>1794870.5499999998</v>
      </c>
      <c r="AB38" s="90">
        <f>AA38-C38</f>
        <v>0</v>
      </c>
      <c r="AC38" s="90"/>
      <c r="AD38" s="90"/>
    </row>
    <row r="39" spans="1:30" ht="12.75" customHeight="1">
      <c r="A39" s="307" t="s">
        <v>70</v>
      </c>
      <c r="B39" s="307"/>
      <c r="C39" s="17">
        <f>C38+C33</f>
        <v>10678484.71</v>
      </c>
      <c r="D39" s="17">
        <f aca="true" t="shared" si="8" ref="D39:Y39">D38+D33</f>
        <v>0</v>
      </c>
      <c r="E39" s="17">
        <f t="shared" si="8"/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17">
        <f t="shared" si="8"/>
        <v>0</v>
      </c>
      <c r="J39" s="17">
        <f t="shared" si="8"/>
        <v>0</v>
      </c>
      <c r="K39" s="17">
        <f t="shared" si="8"/>
        <v>0</v>
      </c>
      <c r="L39" s="17">
        <f t="shared" si="8"/>
        <v>0</v>
      </c>
      <c r="M39" s="17">
        <f t="shared" si="8"/>
        <v>0</v>
      </c>
      <c r="N39" s="17">
        <f t="shared" si="8"/>
        <v>0</v>
      </c>
      <c r="O39" s="17">
        <f t="shared" si="8"/>
        <v>0</v>
      </c>
      <c r="P39" s="17">
        <f t="shared" si="8"/>
        <v>4617</v>
      </c>
      <c r="Q39" s="17">
        <f t="shared" si="8"/>
        <v>7679285.42</v>
      </c>
      <c r="R39" s="17">
        <f t="shared" si="8"/>
        <v>0</v>
      </c>
      <c r="S39" s="17">
        <f t="shared" si="8"/>
        <v>0</v>
      </c>
      <c r="T39" s="17">
        <f t="shared" si="8"/>
        <v>0</v>
      </c>
      <c r="U39" s="17">
        <f t="shared" si="8"/>
        <v>0</v>
      </c>
      <c r="V39" s="17">
        <f t="shared" si="8"/>
        <v>0</v>
      </c>
      <c r="W39" s="17">
        <f t="shared" si="8"/>
        <v>2999199.29</v>
      </c>
      <c r="X39" s="292">
        <f t="shared" si="8"/>
        <v>0</v>
      </c>
      <c r="Y39" s="292">
        <f t="shared" si="8"/>
        <v>0</v>
      </c>
      <c r="Z39" s="292"/>
      <c r="AA39" s="91"/>
      <c r="AB39" s="90"/>
      <c r="AC39" s="90"/>
      <c r="AD39" s="90"/>
    </row>
    <row r="40" spans="1:28" ht="12.75" customHeight="1">
      <c r="A40" s="334" t="s">
        <v>71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298"/>
      <c r="Z40" s="298"/>
      <c r="AA40" s="91"/>
      <c r="AB40" s="90"/>
    </row>
    <row r="41" spans="1:28" ht="12.75" customHeight="1">
      <c r="A41" s="307" t="s">
        <v>259</v>
      </c>
      <c r="B41" s="307"/>
      <c r="C41" s="307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98"/>
      <c r="Y41" s="298"/>
      <c r="Z41" s="298"/>
      <c r="AA41" s="91"/>
      <c r="AB41" s="90"/>
    </row>
    <row r="42" spans="1:28" ht="12.75" customHeight="1">
      <c r="A42" s="179">
        <f>A37+1</f>
        <v>11</v>
      </c>
      <c r="B42" s="102" t="s">
        <v>200</v>
      </c>
      <c r="C42" s="18">
        <f>D42+K42+M42+O42+Q42+S42+U42+V42+W42+X42</f>
        <v>236137.56</v>
      </c>
      <c r="D42" s="225"/>
      <c r="E42" s="225"/>
      <c r="F42" s="225"/>
      <c r="G42" s="225"/>
      <c r="H42" s="225"/>
      <c r="I42" s="225"/>
      <c r="J42" s="225"/>
      <c r="K42" s="225"/>
      <c r="L42" s="19"/>
      <c r="M42" s="19"/>
      <c r="N42" s="225"/>
      <c r="O42" s="225"/>
      <c r="P42" s="225"/>
      <c r="Q42" s="225"/>
      <c r="R42" s="225"/>
      <c r="S42" s="225"/>
      <c r="T42" s="225"/>
      <c r="U42" s="225"/>
      <c r="V42" s="225"/>
      <c r="W42" s="18">
        <f>Y42</f>
        <v>236137.56</v>
      </c>
      <c r="X42" s="298"/>
      <c r="Y42" s="306">
        <v>236137.56</v>
      </c>
      <c r="Z42" s="306" t="s">
        <v>284</v>
      </c>
      <c r="AA42" s="91"/>
      <c r="AB42" s="90"/>
    </row>
    <row r="43" spans="1:28" ht="12.75" customHeight="1">
      <c r="A43" s="179">
        <f>A42+1</f>
        <v>12</v>
      </c>
      <c r="B43" s="211" t="s">
        <v>201</v>
      </c>
      <c r="C43" s="18">
        <f>D43+K43+M43+O43+Q43+S43+U43+V43+W43+X43</f>
        <v>197987.52</v>
      </c>
      <c r="D43" s="225"/>
      <c r="E43" s="225"/>
      <c r="F43" s="225"/>
      <c r="G43" s="225"/>
      <c r="H43" s="225"/>
      <c r="I43" s="225"/>
      <c r="J43" s="225"/>
      <c r="K43" s="225"/>
      <c r="L43" s="19"/>
      <c r="M43" s="19"/>
      <c r="N43" s="225"/>
      <c r="O43" s="225"/>
      <c r="P43" s="225"/>
      <c r="Q43" s="225"/>
      <c r="R43" s="225"/>
      <c r="S43" s="225"/>
      <c r="T43" s="225"/>
      <c r="U43" s="225"/>
      <c r="V43" s="225"/>
      <c r="W43" s="18">
        <f>Y43</f>
        <v>197987.52</v>
      </c>
      <c r="X43" s="298"/>
      <c r="Y43" s="306">
        <v>197987.52</v>
      </c>
      <c r="Z43" s="306" t="s">
        <v>284</v>
      </c>
      <c r="AA43" s="91"/>
      <c r="AB43" s="90"/>
    </row>
    <row r="44" spans="1:28" ht="12.75" customHeight="1">
      <c r="A44" s="308" t="s">
        <v>64</v>
      </c>
      <c r="B44" s="308"/>
      <c r="C44" s="18">
        <f>SUM(C42:C43)</f>
        <v>434125.07999999996</v>
      </c>
      <c r="D44" s="18">
        <f aca="true" t="shared" si="9" ref="D44:W44">SUM(D42:D43)</f>
        <v>0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0</v>
      </c>
      <c r="J44" s="18">
        <f t="shared" si="9"/>
        <v>0</v>
      </c>
      <c r="K44" s="18">
        <f t="shared" si="9"/>
        <v>0</v>
      </c>
      <c r="L44" s="18">
        <f t="shared" si="9"/>
        <v>0</v>
      </c>
      <c r="M44" s="18">
        <f t="shared" si="9"/>
        <v>0</v>
      </c>
      <c r="N44" s="18">
        <f t="shared" si="9"/>
        <v>0</v>
      </c>
      <c r="O44" s="18">
        <f t="shared" si="9"/>
        <v>0</v>
      </c>
      <c r="P44" s="18">
        <f t="shared" si="9"/>
        <v>0</v>
      </c>
      <c r="Q44" s="18">
        <f t="shared" si="9"/>
        <v>0</v>
      </c>
      <c r="R44" s="18">
        <f t="shared" si="9"/>
        <v>0</v>
      </c>
      <c r="S44" s="18">
        <f t="shared" si="9"/>
        <v>0</v>
      </c>
      <c r="T44" s="18">
        <f t="shared" si="9"/>
        <v>0</v>
      </c>
      <c r="U44" s="18">
        <f t="shared" si="9"/>
        <v>0</v>
      </c>
      <c r="V44" s="18">
        <f t="shared" si="9"/>
        <v>0</v>
      </c>
      <c r="W44" s="18">
        <f t="shared" si="9"/>
        <v>434125.07999999996</v>
      </c>
      <c r="X44" s="306">
        <f>C44-W44</f>
        <v>0</v>
      </c>
      <c r="Y44" s="306"/>
      <c r="Z44" s="306"/>
      <c r="AA44" s="91"/>
      <c r="AB44" s="90"/>
    </row>
    <row r="45" spans="1:28" ht="12.75" customHeight="1">
      <c r="A45" s="307" t="s">
        <v>72</v>
      </c>
      <c r="B45" s="307"/>
      <c r="C45" s="307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292"/>
      <c r="Z45" s="304"/>
      <c r="AA45" s="91"/>
      <c r="AB45" s="90"/>
    </row>
    <row r="46" spans="1:29" ht="12.75" customHeight="1">
      <c r="A46" s="179">
        <f>A43+1</f>
        <v>13</v>
      </c>
      <c r="B46" s="24" t="s">
        <v>139</v>
      </c>
      <c r="C46" s="18">
        <f aca="true" t="shared" si="10" ref="C46:C61">D46+K46+M46+O46+Q46+S46+U46+V46+W46+X46</f>
        <v>1135016.37</v>
      </c>
      <c r="D46" s="17">
        <f>E46+F46+G46+H46+I46</f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71"/>
      <c r="Q46" s="19"/>
      <c r="R46" s="17"/>
      <c r="S46" s="17"/>
      <c r="T46" s="17"/>
      <c r="U46" s="17"/>
      <c r="V46" s="17"/>
      <c r="W46" s="19">
        <f>Y46</f>
        <v>1135016.37</v>
      </c>
      <c r="X46" s="292"/>
      <c r="Y46" s="304">
        <f>1135016.37</f>
        <v>1135016.37</v>
      </c>
      <c r="Z46" s="304" t="s">
        <v>97</v>
      </c>
      <c r="AA46" s="300" t="s">
        <v>260</v>
      </c>
      <c r="AB46" s="90"/>
      <c r="AC46" s="90" t="s">
        <v>184</v>
      </c>
    </row>
    <row r="47" spans="1:29" ht="12.75" customHeight="1">
      <c r="A47" s="92">
        <f>A46+1</f>
        <v>14</v>
      </c>
      <c r="B47" s="24" t="s">
        <v>169</v>
      </c>
      <c r="C47" s="18">
        <f t="shared" si="10"/>
        <v>185215.75</v>
      </c>
      <c r="D47" s="17">
        <f aca="true" t="shared" si="11" ref="D47:D61">E47+F47+G47+H47+I47</f>
        <v>0</v>
      </c>
      <c r="E47" s="17"/>
      <c r="F47" s="17"/>
      <c r="G47" s="17"/>
      <c r="H47" s="17"/>
      <c r="I47" s="17"/>
      <c r="J47" s="17"/>
      <c r="K47" s="17"/>
      <c r="L47" s="19"/>
      <c r="M47" s="19"/>
      <c r="N47" s="17"/>
      <c r="O47" s="17"/>
      <c r="P47" s="19"/>
      <c r="Q47" s="19"/>
      <c r="R47" s="17"/>
      <c r="S47" s="17"/>
      <c r="T47" s="17"/>
      <c r="U47" s="17"/>
      <c r="V47" s="17"/>
      <c r="W47" s="19">
        <f aca="true" t="shared" si="12" ref="W47:W61">Y47</f>
        <v>185215.75</v>
      </c>
      <c r="X47" s="292"/>
      <c r="Y47" s="304">
        <v>185215.75</v>
      </c>
      <c r="Z47" s="304" t="s">
        <v>284</v>
      </c>
      <c r="AA47" s="72"/>
      <c r="AB47" s="90"/>
      <c r="AC47" s="90" t="s">
        <v>184</v>
      </c>
    </row>
    <row r="48" spans="1:29" ht="12.75" customHeight="1">
      <c r="A48" s="92">
        <f aca="true" t="shared" si="13" ref="A48:A61">A47+1</f>
        <v>15</v>
      </c>
      <c r="B48" s="24" t="s">
        <v>170</v>
      </c>
      <c r="C48" s="18">
        <f t="shared" si="10"/>
        <v>381870.46</v>
      </c>
      <c r="D48" s="17">
        <f t="shared" si="11"/>
        <v>0</v>
      </c>
      <c r="E48" s="17"/>
      <c r="F48" s="17"/>
      <c r="G48" s="17"/>
      <c r="H48" s="17"/>
      <c r="I48" s="17"/>
      <c r="J48" s="17"/>
      <c r="K48" s="17"/>
      <c r="L48" s="19"/>
      <c r="M48" s="19"/>
      <c r="N48" s="17"/>
      <c r="O48" s="17"/>
      <c r="P48" s="19"/>
      <c r="Q48" s="19"/>
      <c r="R48" s="17"/>
      <c r="S48" s="17"/>
      <c r="T48" s="17"/>
      <c r="U48" s="17"/>
      <c r="V48" s="17"/>
      <c r="W48" s="19">
        <f t="shared" si="12"/>
        <v>381870.46</v>
      </c>
      <c r="X48" s="292"/>
      <c r="Y48" s="304">
        <v>381870.46</v>
      </c>
      <c r="Z48" s="304" t="s">
        <v>282</v>
      </c>
      <c r="AA48" s="72"/>
      <c r="AB48" s="90"/>
      <c r="AC48" s="90" t="s">
        <v>184</v>
      </c>
    </row>
    <row r="49" spans="1:29" ht="12.75" customHeight="1">
      <c r="A49" s="92">
        <f t="shared" si="13"/>
        <v>16</v>
      </c>
      <c r="B49" s="24" t="s">
        <v>171</v>
      </c>
      <c r="C49" s="18">
        <f t="shared" si="10"/>
        <v>193326.55</v>
      </c>
      <c r="D49" s="17">
        <f t="shared" si="11"/>
        <v>0</v>
      </c>
      <c r="E49" s="17"/>
      <c r="F49" s="17"/>
      <c r="G49" s="17"/>
      <c r="H49" s="17"/>
      <c r="I49" s="17"/>
      <c r="J49" s="17"/>
      <c r="K49" s="17"/>
      <c r="L49" s="19"/>
      <c r="M49" s="19"/>
      <c r="N49" s="17"/>
      <c r="O49" s="17"/>
      <c r="P49" s="19"/>
      <c r="Q49" s="19"/>
      <c r="R49" s="17"/>
      <c r="S49" s="17"/>
      <c r="T49" s="17"/>
      <c r="U49" s="17"/>
      <c r="V49" s="17"/>
      <c r="W49" s="19">
        <f t="shared" si="12"/>
        <v>193326.55</v>
      </c>
      <c r="X49" s="292"/>
      <c r="Y49" s="304">
        <v>193326.55</v>
      </c>
      <c r="Z49" s="304" t="s">
        <v>284</v>
      </c>
      <c r="AA49" s="72"/>
      <c r="AB49" s="90"/>
      <c r="AC49" s="90" t="s">
        <v>184</v>
      </c>
    </row>
    <row r="50" spans="1:29" ht="12.75" customHeight="1">
      <c r="A50" s="92">
        <f t="shared" si="13"/>
        <v>17</v>
      </c>
      <c r="B50" s="24" t="s">
        <v>172</v>
      </c>
      <c r="C50" s="18">
        <f t="shared" si="10"/>
        <v>367045.66</v>
      </c>
      <c r="D50" s="17">
        <f t="shared" si="11"/>
        <v>0</v>
      </c>
      <c r="E50" s="17"/>
      <c r="F50" s="17"/>
      <c r="G50" s="17"/>
      <c r="H50" s="17"/>
      <c r="I50" s="17"/>
      <c r="J50" s="17"/>
      <c r="K50" s="17"/>
      <c r="L50" s="71"/>
      <c r="M50" s="19"/>
      <c r="N50" s="17"/>
      <c r="O50" s="17"/>
      <c r="P50" s="71"/>
      <c r="Q50" s="19"/>
      <c r="R50" s="17"/>
      <c r="S50" s="17"/>
      <c r="T50" s="17"/>
      <c r="U50" s="17"/>
      <c r="V50" s="17"/>
      <c r="W50" s="19">
        <f t="shared" si="12"/>
        <v>367045.66</v>
      </c>
      <c r="X50" s="292"/>
      <c r="Y50" s="304">
        <f>296636.79+70408.87</f>
        <v>367045.66</v>
      </c>
      <c r="Z50" s="304" t="s">
        <v>289</v>
      </c>
      <c r="AA50" s="72"/>
      <c r="AB50" s="90"/>
      <c r="AC50" s="90" t="s">
        <v>184</v>
      </c>
    </row>
    <row r="51" spans="1:29" ht="12.75" customHeight="1">
      <c r="A51" s="92">
        <f t="shared" si="13"/>
        <v>18</v>
      </c>
      <c r="B51" s="24" t="s">
        <v>173</v>
      </c>
      <c r="C51" s="18">
        <f t="shared" si="10"/>
        <v>140747.46</v>
      </c>
      <c r="D51" s="17">
        <f t="shared" si="11"/>
        <v>0</v>
      </c>
      <c r="E51" s="17"/>
      <c r="F51" s="17"/>
      <c r="G51" s="17"/>
      <c r="H51" s="17"/>
      <c r="I51" s="17"/>
      <c r="J51" s="17"/>
      <c r="K51" s="17"/>
      <c r="L51" s="19"/>
      <c r="M51" s="19"/>
      <c r="N51" s="17"/>
      <c r="O51" s="17"/>
      <c r="P51" s="19"/>
      <c r="Q51" s="19"/>
      <c r="R51" s="17"/>
      <c r="S51" s="17"/>
      <c r="T51" s="17"/>
      <c r="U51" s="17"/>
      <c r="V51" s="17"/>
      <c r="W51" s="19">
        <f t="shared" si="12"/>
        <v>140747.46</v>
      </c>
      <c r="X51" s="292"/>
      <c r="Y51" s="304">
        <v>140747.46</v>
      </c>
      <c r="Z51" s="304" t="s">
        <v>284</v>
      </c>
      <c r="AA51" s="72"/>
      <c r="AB51" s="90"/>
      <c r="AC51" s="90" t="s">
        <v>184</v>
      </c>
    </row>
    <row r="52" spans="1:29" ht="12.75" customHeight="1">
      <c r="A52" s="92">
        <f t="shared" si="13"/>
        <v>19</v>
      </c>
      <c r="B52" s="24" t="s">
        <v>174</v>
      </c>
      <c r="C52" s="18">
        <f t="shared" si="10"/>
        <v>1871824.06</v>
      </c>
      <c r="D52" s="17">
        <f t="shared" si="11"/>
        <v>0</v>
      </c>
      <c r="E52" s="17"/>
      <c r="F52" s="17"/>
      <c r="G52" s="17"/>
      <c r="H52" s="17"/>
      <c r="I52" s="17"/>
      <c r="J52" s="17"/>
      <c r="K52" s="17"/>
      <c r="L52" s="19"/>
      <c r="M52" s="19"/>
      <c r="N52" s="17"/>
      <c r="O52" s="17"/>
      <c r="P52" s="19"/>
      <c r="Q52" s="19"/>
      <c r="R52" s="17"/>
      <c r="S52" s="17"/>
      <c r="T52" s="17"/>
      <c r="U52" s="17"/>
      <c r="V52" s="17"/>
      <c r="W52" s="19">
        <f t="shared" si="12"/>
        <v>1871824.06</v>
      </c>
      <c r="X52" s="292"/>
      <c r="Y52" s="304">
        <f>577583.98+1294240.08</f>
        <v>1871824.06</v>
      </c>
      <c r="Z52" s="304" t="s">
        <v>290</v>
      </c>
      <c r="AA52" s="72"/>
      <c r="AB52" s="90"/>
      <c r="AC52" s="90" t="s">
        <v>184</v>
      </c>
    </row>
    <row r="53" spans="1:29" ht="12.75" customHeight="1">
      <c r="A53" s="92">
        <f t="shared" si="13"/>
        <v>20</v>
      </c>
      <c r="B53" s="24" t="s">
        <v>342</v>
      </c>
      <c r="C53" s="18">
        <f t="shared" si="10"/>
        <v>1059376.83</v>
      </c>
      <c r="D53" s="17">
        <f t="shared" si="11"/>
        <v>0</v>
      </c>
      <c r="E53" s="17"/>
      <c r="F53" s="17"/>
      <c r="G53" s="17"/>
      <c r="H53" s="17"/>
      <c r="I53" s="17"/>
      <c r="J53" s="17"/>
      <c r="K53" s="17"/>
      <c r="L53" s="19"/>
      <c r="M53" s="19"/>
      <c r="N53" s="17"/>
      <c r="O53" s="17"/>
      <c r="P53" s="19"/>
      <c r="Q53" s="19"/>
      <c r="R53" s="17"/>
      <c r="S53" s="17"/>
      <c r="T53" s="17"/>
      <c r="U53" s="17"/>
      <c r="V53" s="17"/>
      <c r="W53" s="19">
        <f t="shared" si="12"/>
        <v>1059376.83</v>
      </c>
      <c r="X53" s="292"/>
      <c r="Y53" s="304">
        <f>364344.77+695032.06</f>
        <v>1059376.83</v>
      </c>
      <c r="Z53" s="304" t="s">
        <v>288</v>
      </c>
      <c r="AA53" s="72"/>
      <c r="AB53" s="90"/>
      <c r="AC53" s="90" t="s">
        <v>184</v>
      </c>
    </row>
    <row r="54" spans="1:29" ht="12.75" customHeight="1">
      <c r="A54" s="92">
        <f t="shared" si="13"/>
        <v>21</v>
      </c>
      <c r="B54" s="24" t="s">
        <v>175</v>
      </c>
      <c r="C54" s="18">
        <f t="shared" si="10"/>
        <v>600615.9890000001</v>
      </c>
      <c r="D54" s="17">
        <f t="shared" si="11"/>
        <v>0</v>
      </c>
      <c r="E54" s="17"/>
      <c r="F54" s="17"/>
      <c r="G54" s="17"/>
      <c r="H54" s="17"/>
      <c r="I54" s="17"/>
      <c r="J54" s="17"/>
      <c r="K54" s="17"/>
      <c r="L54" s="19"/>
      <c r="M54" s="19"/>
      <c r="N54" s="17"/>
      <c r="O54" s="17"/>
      <c r="P54" s="19"/>
      <c r="Q54" s="19"/>
      <c r="R54" s="17"/>
      <c r="S54" s="17"/>
      <c r="T54" s="17"/>
      <c r="U54" s="17"/>
      <c r="V54" s="17"/>
      <c r="W54" s="19">
        <f t="shared" si="12"/>
        <v>600615.9890000001</v>
      </c>
      <c r="X54" s="292"/>
      <c r="Y54" s="304">
        <f>222419.589+378196.4</f>
        <v>600615.9890000001</v>
      </c>
      <c r="Z54" s="304" t="s">
        <v>288</v>
      </c>
      <c r="AA54" s="72"/>
      <c r="AB54" s="90"/>
      <c r="AC54" s="90" t="s">
        <v>184</v>
      </c>
    </row>
    <row r="55" spans="1:29" ht="39.75" customHeight="1">
      <c r="A55" s="92">
        <f t="shared" si="13"/>
        <v>22</v>
      </c>
      <c r="B55" s="303" t="s">
        <v>176</v>
      </c>
      <c r="C55" s="18">
        <f t="shared" si="10"/>
        <v>1004281.78</v>
      </c>
      <c r="D55" s="17">
        <f t="shared" si="11"/>
        <v>0</v>
      </c>
      <c r="E55" s="17"/>
      <c r="F55" s="17"/>
      <c r="G55" s="17"/>
      <c r="H55" s="17"/>
      <c r="I55" s="17"/>
      <c r="J55" s="17"/>
      <c r="K55" s="17"/>
      <c r="L55" s="19"/>
      <c r="M55" s="19"/>
      <c r="N55" s="17"/>
      <c r="O55" s="17"/>
      <c r="P55" s="19"/>
      <c r="Q55" s="19"/>
      <c r="R55" s="17"/>
      <c r="S55" s="17"/>
      <c r="T55" s="17"/>
      <c r="U55" s="17"/>
      <c r="V55" s="17"/>
      <c r="W55" s="19">
        <f t="shared" si="12"/>
        <v>1004281.78</v>
      </c>
      <c r="X55" s="292"/>
      <c r="Y55" s="304">
        <f>405437.38+156088.56+442755.84</f>
        <v>1004281.78</v>
      </c>
      <c r="Z55" s="304" t="s">
        <v>286</v>
      </c>
      <c r="AA55" s="72"/>
      <c r="AB55" s="90"/>
      <c r="AC55" s="90" t="s">
        <v>184</v>
      </c>
    </row>
    <row r="56" spans="1:29" ht="12.75" customHeight="1">
      <c r="A56" s="92">
        <f t="shared" si="13"/>
        <v>23</v>
      </c>
      <c r="B56" s="24" t="s">
        <v>177</v>
      </c>
      <c r="C56" s="18">
        <f t="shared" si="10"/>
        <v>520302.06</v>
      </c>
      <c r="D56" s="17">
        <f t="shared" si="11"/>
        <v>0</v>
      </c>
      <c r="E56" s="17"/>
      <c r="F56" s="17"/>
      <c r="G56" s="17"/>
      <c r="H56" s="17"/>
      <c r="I56" s="17"/>
      <c r="J56" s="17"/>
      <c r="K56" s="17"/>
      <c r="L56" s="71"/>
      <c r="M56" s="19"/>
      <c r="N56" s="17"/>
      <c r="O56" s="17"/>
      <c r="P56" s="71"/>
      <c r="Q56" s="19"/>
      <c r="R56" s="17"/>
      <c r="S56" s="17"/>
      <c r="T56" s="17"/>
      <c r="U56" s="17"/>
      <c r="V56" s="17"/>
      <c r="W56" s="19">
        <f t="shared" si="12"/>
        <v>520302.06</v>
      </c>
      <c r="X56" s="292"/>
      <c r="Y56" s="304">
        <f>520302.06</f>
        <v>520302.06</v>
      </c>
      <c r="Z56" s="304" t="s">
        <v>282</v>
      </c>
      <c r="AA56" s="72"/>
      <c r="AB56" s="90"/>
      <c r="AC56" s="90" t="s">
        <v>184</v>
      </c>
    </row>
    <row r="57" spans="1:29" ht="12.75" customHeight="1">
      <c r="A57" s="92">
        <f t="shared" si="13"/>
        <v>24</v>
      </c>
      <c r="B57" s="24" t="s">
        <v>178</v>
      </c>
      <c r="C57" s="18">
        <f t="shared" si="10"/>
        <v>462269.92</v>
      </c>
      <c r="D57" s="17">
        <f t="shared" si="11"/>
        <v>0</v>
      </c>
      <c r="E57" s="17"/>
      <c r="F57" s="17"/>
      <c r="G57" s="17"/>
      <c r="H57" s="17"/>
      <c r="I57" s="17"/>
      <c r="J57" s="17"/>
      <c r="K57" s="17"/>
      <c r="L57" s="71"/>
      <c r="M57" s="19"/>
      <c r="N57" s="17"/>
      <c r="O57" s="17"/>
      <c r="P57" s="71"/>
      <c r="Q57" s="19"/>
      <c r="R57" s="17"/>
      <c r="S57" s="17"/>
      <c r="T57" s="17"/>
      <c r="U57" s="17"/>
      <c r="V57" s="17"/>
      <c r="W57" s="19">
        <f t="shared" si="12"/>
        <v>462269.92</v>
      </c>
      <c r="X57" s="292"/>
      <c r="Y57" s="304">
        <f>403358.16+58911.76</f>
        <v>462269.92</v>
      </c>
      <c r="Z57" s="304" t="s">
        <v>289</v>
      </c>
      <c r="AA57" s="72"/>
      <c r="AB57" s="90"/>
      <c r="AC57" s="90" t="s">
        <v>184</v>
      </c>
    </row>
    <row r="58" spans="1:29" ht="12.75" customHeight="1">
      <c r="A58" s="92">
        <f t="shared" si="13"/>
        <v>25</v>
      </c>
      <c r="B58" s="24" t="s">
        <v>179</v>
      </c>
      <c r="C58" s="18">
        <f t="shared" si="10"/>
        <v>446543.82999999996</v>
      </c>
      <c r="D58" s="17">
        <f t="shared" si="11"/>
        <v>0</v>
      </c>
      <c r="E58" s="17"/>
      <c r="F58" s="17"/>
      <c r="G58" s="17"/>
      <c r="H58" s="17"/>
      <c r="I58" s="17"/>
      <c r="J58" s="17"/>
      <c r="K58" s="17"/>
      <c r="L58" s="71"/>
      <c r="M58" s="19"/>
      <c r="N58" s="17"/>
      <c r="O58" s="17"/>
      <c r="P58" s="71"/>
      <c r="Q58" s="19"/>
      <c r="R58" s="17"/>
      <c r="S58" s="17"/>
      <c r="T58" s="17"/>
      <c r="U58" s="17"/>
      <c r="V58" s="17"/>
      <c r="W58" s="19">
        <f t="shared" si="12"/>
        <v>446543.82999999996</v>
      </c>
      <c r="X58" s="292"/>
      <c r="Y58" s="304">
        <f>99976.61+346567.22</f>
        <v>446543.82999999996</v>
      </c>
      <c r="Z58" s="304" t="s">
        <v>289</v>
      </c>
      <c r="AA58" s="72"/>
      <c r="AB58" s="90"/>
      <c r="AC58" s="90" t="s">
        <v>184</v>
      </c>
    </row>
    <row r="59" spans="1:29" ht="12.75" customHeight="1">
      <c r="A59" s="92">
        <f t="shared" si="13"/>
        <v>26</v>
      </c>
      <c r="B59" s="303" t="s">
        <v>180</v>
      </c>
      <c r="C59" s="18">
        <f t="shared" si="10"/>
        <v>1163660.81</v>
      </c>
      <c r="D59" s="17">
        <f t="shared" si="11"/>
        <v>0</v>
      </c>
      <c r="E59" s="17"/>
      <c r="F59" s="17"/>
      <c r="G59" s="17"/>
      <c r="H59" s="17"/>
      <c r="I59" s="17"/>
      <c r="J59" s="17"/>
      <c r="K59" s="17"/>
      <c r="L59" s="19"/>
      <c r="M59" s="19"/>
      <c r="N59" s="17"/>
      <c r="O59" s="17"/>
      <c r="P59" s="19"/>
      <c r="Q59" s="19"/>
      <c r="R59" s="17"/>
      <c r="S59" s="17"/>
      <c r="T59" s="17"/>
      <c r="U59" s="17"/>
      <c r="V59" s="17"/>
      <c r="W59" s="19">
        <f t="shared" si="12"/>
        <v>1163660.81</v>
      </c>
      <c r="X59" s="292"/>
      <c r="Y59" s="304">
        <f>765112.74+398548.07</f>
        <v>1163660.81</v>
      </c>
      <c r="Z59" s="304" t="s">
        <v>287</v>
      </c>
      <c r="AA59" s="72"/>
      <c r="AB59" s="90"/>
      <c r="AC59" s="90" t="s">
        <v>184</v>
      </c>
    </row>
    <row r="60" spans="1:29" ht="12.75" customHeight="1">
      <c r="A60" s="92">
        <f t="shared" si="13"/>
        <v>27</v>
      </c>
      <c r="B60" s="24" t="s">
        <v>181</v>
      </c>
      <c r="C60" s="18">
        <f t="shared" si="10"/>
        <v>1048155.9</v>
      </c>
      <c r="D60" s="17">
        <f t="shared" si="11"/>
        <v>0</v>
      </c>
      <c r="E60" s="17"/>
      <c r="F60" s="17"/>
      <c r="G60" s="17"/>
      <c r="H60" s="17"/>
      <c r="I60" s="17"/>
      <c r="J60" s="17"/>
      <c r="K60" s="17"/>
      <c r="L60" s="71"/>
      <c r="M60" s="19"/>
      <c r="N60" s="17"/>
      <c r="O60" s="17"/>
      <c r="P60" s="71"/>
      <c r="Q60" s="19"/>
      <c r="R60" s="17"/>
      <c r="S60" s="17"/>
      <c r="T60" s="17"/>
      <c r="U60" s="17"/>
      <c r="V60" s="17"/>
      <c r="W60" s="19">
        <f t="shared" si="12"/>
        <v>1048155.9</v>
      </c>
      <c r="X60" s="292"/>
      <c r="Y60" s="304">
        <f>145660.51+902495.39</f>
        <v>1048155.9</v>
      </c>
      <c r="Z60" s="304" t="s">
        <v>289</v>
      </c>
      <c r="AA60" s="72"/>
      <c r="AB60" s="90"/>
      <c r="AC60" s="90" t="s">
        <v>184</v>
      </c>
    </row>
    <row r="61" spans="1:29" ht="25.5" customHeight="1">
      <c r="A61" s="92">
        <f t="shared" si="13"/>
        <v>28</v>
      </c>
      <c r="B61" s="24" t="s">
        <v>182</v>
      </c>
      <c r="C61" s="18">
        <f t="shared" si="10"/>
        <v>1612403.9</v>
      </c>
      <c r="D61" s="17">
        <f t="shared" si="11"/>
        <v>0</v>
      </c>
      <c r="E61" s="17"/>
      <c r="F61" s="17"/>
      <c r="G61" s="17"/>
      <c r="H61" s="17"/>
      <c r="I61" s="17"/>
      <c r="J61" s="17"/>
      <c r="K61" s="17"/>
      <c r="L61" s="71"/>
      <c r="M61" s="19"/>
      <c r="N61" s="17"/>
      <c r="O61" s="17"/>
      <c r="P61" s="71"/>
      <c r="Q61" s="17"/>
      <c r="R61" s="17"/>
      <c r="S61" s="17"/>
      <c r="T61" s="17"/>
      <c r="U61" s="17"/>
      <c r="V61" s="17"/>
      <c r="W61" s="19">
        <f t="shared" si="12"/>
        <v>1612403.9</v>
      </c>
      <c r="X61" s="292"/>
      <c r="Y61" s="304">
        <f>660039.47+296698.48+655665.95</f>
        <v>1612403.9</v>
      </c>
      <c r="Z61" s="304" t="s">
        <v>291</v>
      </c>
      <c r="AA61" s="72"/>
      <c r="AB61" s="90"/>
      <c r="AC61" s="90" t="s">
        <v>184</v>
      </c>
    </row>
    <row r="62" spans="1:30" ht="12.75" customHeight="1">
      <c r="A62" s="308" t="s">
        <v>64</v>
      </c>
      <c r="B62" s="308"/>
      <c r="C62" s="18">
        <f aca="true" t="shared" si="14" ref="C62:W62">SUM(C46:C61)</f>
        <v>12192657.329000002</v>
      </c>
      <c r="D62" s="18">
        <f t="shared" si="14"/>
        <v>0</v>
      </c>
      <c r="E62" s="18">
        <f t="shared" si="14"/>
        <v>0</v>
      </c>
      <c r="F62" s="18">
        <f t="shared" si="14"/>
        <v>0</v>
      </c>
      <c r="G62" s="18">
        <f t="shared" si="14"/>
        <v>0</v>
      </c>
      <c r="H62" s="18">
        <f t="shared" si="14"/>
        <v>0</v>
      </c>
      <c r="I62" s="18">
        <f t="shared" si="14"/>
        <v>0</v>
      </c>
      <c r="J62" s="18">
        <f t="shared" si="14"/>
        <v>0</v>
      </c>
      <c r="K62" s="18">
        <f t="shared" si="14"/>
        <v>0</v>
      </c>
      <c r="L62" s="18">
        <f t="shared" si="14"/>
        <v>0</v>
      </c>
      <c r="M62" s="18">
        <f t="shared" si="14"/>
        <v>0</v>
      </c>
      <c r="N62" s="18">
        <f t="shared" si="14"/>
        <v>0</v>
      </c>
      <c r="O62" s="18">
        <f t="shared" si="14"/>
        <v>0</v>
      </c>
      <c r="P62" s="18">
        <f t="shared" si="14"/>
        <v>0</v>
      </c>
      <c r="Q62" s="18">
        <f t="shared" si="14"/>
        <v>0</v>
      </c>
      <c r="R62" s="18">
        <f t="shared" si="14"/>
        <v>0</v>
      </c>
      <c r="S62" s="18">
        <f t="shared" si="14"/>
        <v>0</v>
      </c>
      <c r="T62" s="18">
        <f t="shared" si="14"/>
        <v>0</v>
      </c>
      <c r="U62" s="18">
        <f t="shared" si="14"/>
        <v>0</v>
      </c>
      <c r="V62" s="18">
        <f t="shared" si="14"/>
        <v>0</v>
      </c>
      <c r="W62" s="18">
        <f t="shared" si="14"/>
        <v>12192657.329000002</v>
      </c>
      <c r="X62" s="306">
        <f>C62-W62</f>
        <v>0</v>
      </c>
      <c r="Y62" s="306"/>
      <c r="Z62" s="306"/>
      <c r="AA62" s="91">
        <f>E62+F62+G62+H62+I62+K62+M62+O62+Q62+S62+U62+W62+V62+X62</f>
        <v>12192657.329000002</v>
      </c>
      <c r="AB62" s="90">
        <f>AA62-C62</f>
        <v>0</v>
      </c>
      <c r="AC62" s="90"/>
      <c r="AD62" s="90"/>
    </row>
    <row r="63" spans="1:30" ht="12.75" customHeight="1">
      <c r="A63" s="307" t="s">
        <v>261</v>
      </c>
      <c r="B63" s="307"/>
      <c r="C63" s="30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306"/>
      <c r="Y63" s="306"/>
      <c r="Z63" s="306"/>
      <c r="AA63" s="91"/>
      <c r="AB63" s="90"/>
      <c r="AC63" s="90"/>
      <c r="AD63" s="90"/>
    </row>
    <row r="64" spans="1:30" ht="12.75" customHeight="1">
      <c r="A64" s="92">
        <f>A61+1</f>
        <v>29</v>
      </c>
      <c r="B64" s="102" t="s">
        <v>202</v>
      </c>
      <c r="C64" s="18">
        <f>D64+K64+M64+O64+Q64+S64+U64+V64+W64+X64</f>
        <v>548725.23</v>
      </c>
      <c r="D64" s="17">
        <f>E64+F64+G64+H64+I64</f>
        <v>0</v>
      </c>
      <c r="E64" s="19"/>
      <c r="F64" s="19"/>
      <c r="G64" s="19"/>
      <c r="H64" s="19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>
        <f>410405.36+138319.87</f>
        <v>548725.23</v>
      </c>
      <c r="X64" s="306"/>
      <c r="Y64" s="306"/>
      <c r="Z64" s="304" t="s">
        <v>303</v>
      </c>
      <c r="AA64" s="91"/>
      <c r="AB64" s="90"/>
      <c r="AC64" s="90"/>
      <c r="AD64" s="90"/>
    </row>
    <row r="65" spans="1:30" ht="12.75" customHeight="1">
      <c r="A65" s="92">
        <f>A64+1</f>
        <v>30</v>
      </c>
      <c r="B65" s="102" t="s">
        <v>203</v>
      </c>
      <c r="C65" s="18">
        <f>D65+K65+M65+O65+Q65+S65+U65+V65+W65+X65</f>
        <v>315337.06</v>
      </c>
      <c r="D65" s="17">
        <f>E65+F65+G65+H65+I65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f>315337.06</f>
        <v>315337.06</v>
      </c>
      <c r="X65" s="306"/>
      <c r="Y65" s="306"/>
      <c r="Z65" s="306" t="s">
        <v>302</v>
      </c>
      <c r="AA65" s="91"/>
      <c r="AB65" s="90"/>
      <c r="AC65" s="90"/>
      <c r="AD65" s="90"/>
    </row>
    <row r="66" spans="1:30" ht="12.75" customHeight="1">
      <c r="A66" s="92">
        <f>A65+1</f>
        <v>31</v>
      </c>
      <c r="B66" s="102" t="s">
        <v>204</v>
      </c>
      <c r="C66" s="18">
        <f>D66+K66+M66+O66+Q66+S66+U66+V66+W66+X66</f>
        <v>584689.98</v>
      </c>
      <c r="D66" s="17">
        <f>E66+F66+G66+H66+I66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>
        <f>202704.88+381985.1</f>
        <v>584689.98</v>
      </c>
      <c r="X66" s="306"/>
      <c r="Y66" s="306"/>
      <c r="Z66" s="306" t="s">
        <v>301</v>
      </c>
      <c r="AA66" s="91"/>
      <c r="AB66" s="90"/>
      <c r="AC66" s="90"/>
      <c r="AD66" s="90"/>
    </row>
    <row r="67" spans="1:30" ht="12.75" customHeight="1">
      <c r="A67" s="92">
        <f>A66+1</f>
        <v>32</v>
      </c>
      <c r="B67" s="102" t="s">
        <v>205</v>
      </c>
      <c r="C67" s="18">
        <f>D67+K67+M67+O67+Q67+S67+U67+V67+W67+X67</f>
        <v>1047495.98</v>
      </c>
      <c r="D67" s="17">
        <f>E67+F67+G67+H67+I67</f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>
        <f>715654.96+331841.02</f>
        <v>1047495.98</v>
      </c>
      <c r="X67" s="89"/>
      <c r="Y67" s="306"/>
      <c r="Z67" s="304" t="s">
        <v>281</v>
      </c>
      <c r="AA67" s="91"/>
      <c r="AB67" s="90"/>
      <c r="AC67" s="90"/>
      <c r="AD67" s="90"/>
    </row>
    <row r="68" spans="1:30" ht="12.75" customHeight="1">
      <c r="A68" s="308" t="s">
        <v>64</v>
      </c>
      <c r="B68" s="308"/>
      <c r="C68" s="18">
        <f>SUM(C64:C67)</f>
        <v>2496248.25</v>
      </c>
      <c r="D68" s="18">
        <f aca="true" t="shared" si="15" ref="D68:W68">SUM(D64:D67)</f>
        <v>0</v>
      </c>
      <c r="E68" s="18">
        <f t="shared" si="15"/>
        <v>0</v>
      </c>
      <c r="F68" s="18">
        <f t="shared" si="15"/>
        <v>0</v>
      </c>
      <c r="G68" s="18">
        <f t="shared" si="15"/>
        <v>0</v>
      </c>
      <c r="H68" s="18">
        <f t="shared" si="15"/>
        <v>0</v>
      </c>
      <c r="I68" s="18">
        <f t="shared" si="15"/>
        <v>0</v>
      </c>
      <c r="J68" s="18">
        <f t="shared" si="15"/>
        <v>0</v>
      </c>
      <c r="K68" s="18">
        <f t="shared" si="15"/>
        <v>0</v>
      </c>
      <c r="L68" s="18">
        <f t="shared" si="15"/>
        <v>0</v>
      </c>
      <c r="M68" s="18">
        <f t="shared" si="15"/>
        <v>0</v>
      </c>
      <c r="N68" s="18">
        <f t="shared" si="15"/>
        <v>0</v>
      </c>
      <c r="O68" s="18">
        <f t="shared" si="15"/>
        <v>0</v>
      </c>
      <c r="P68" s="18">
        <f t="shared" si="15"/>
        <v>0</v>
      </c>
      <c r="Q68" s="18">
        <f t="shared" si="15"/>
        <v>0</v>
      </c>
      <c r="R68" s="18">
        <f t="shared" si="15"/>
        <v>0</v>
      </c>
      <c r="S68" s="18">
        <f t="shared" si="15"/>
        <v>0</v>
      </c>
      <c r="T68" s="18">
        <f t="shared" si="15"/>
        <v>0</v>
      </c>
      <c r="U68" s="18">
        <f t="shared" si="15"/>
        <v>0</v>
      </c>
      <c r="V68" s="18">
        <f t="shared" si="15"/>
        <v>0</v>
      </c>
      <c r="W68" s="18">
        <f t="shared" si="15"/>
        <v>2496248.25</v>
      </c>
      <c r="X68" s="306">
        <f>C68-W68</f>
        <v>0</v>
      </c>
      <c r="Y68" s="306"/>
      <c r="Z68" s="306"/>
      <c r="AA68" s="91"/>
      <c r="AB68" s="90"/>
      <c r="AC68" s="90"/>
      <c r="AD68" s="90"/>
    </row>
    <row r="69" spans="1:30" ht="12.75" customHeight="1">
      <c r="A69" s="307" t="s">
        <v>262</v>
      </c>
      <c r="B69" s="307"/>
      <c r="C69" s="30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306"/>
      <c r="Y69" s="306"/>
      <c r="Z69" s="306"/>
      <c r="AA69" s="91"/>
      <c r="AB69" s="90"/>
      <c r="AC69" s="90"/>
      <c r="AD69" s="90"/>
    </row>
    <row r="70" spans="1:30" ht="12.75" customHeight="1">
      <c r="A70" s="92">
        <f>A67+1</f>
        <v>33</v>
      </c>
      <c r="B70" s="102" t="s">
        <v>212</v>
      </c>
      <c r="C70" s="18">
        <f aca="true" t="shared" si="16" ref="C70:C76">D70+K70+M70+O70+Q70+S70+U70+V70+W70+X70</f>
        <v>311436.33</v>
      </c>
      <c r="D70" s="17">
        <f aca="true" t="shared" si="17" ref="D70:D76">E70+F70+G70+H70+I70</f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>
        <f>Y70</f>
        <v>311436.33</v>
      </c>
      <c r="X70" s="306"/>
      <c r="Y70" s="306">
        <v>311436.33</v>
      </c>
      <c r="Z70" s="306" t="s">
        <v>277</v>
      </c>
      <c r="AA70" s="91"/>
      <c r="AB70" s="90"/>
      <c r="AC70" s="90"/>
      <c r="AD70" s="90"/>
    </row>
    <row r="71" spans="1:30" ht="12.75" customHeight="1">
      <c r="A71" s="92">
        <f aca="true" t="shared" si="18" ref="A71:A76">A70+1</f>
        <v>34</v>
      </c>
      <c r="B71" s="102" t="s">
        <v>213</v>
      </c>
      <c r="C71" s="18">
        <f t="shared" si="16"/>
        <v>391216.75</v>
      </c>
      <c r="D71" s="17">
        <f t="shared" si="17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f aca="true" t="shared" si="19" ref="W71:W76">Y71</f>
        <v>391216.75</v>
      </c>
      <c r="X71" s="306"/>
      <c r="Y71" s="306">
        <v>391216.75</v>
      </c>
      <c r="Z71" s="306" t="s">
        <v>277</v>
      </c>
      <c r="AA71" s="91"/>
      <c r="AB71" s="90"/>
      <c r="AC71" s="90"/>
      <c r="AD71" s="90"/>
    </row>
    <row r="72" spans="1:30" ht="12.75" customHeight="1">
      <c r="A72" s="92">
        <f t="shared" si="18"/>
        <v>35</v>
      </c>
      <c r="B72" s="31" t="s">
        <v>206</v>
      </c>
      <c r="C72" s="18">
        <f t="shared" si="16"/>
        <v>180063.36</v>
      </c>
      <c r="D72" s="17">
        <f t="shared" si="17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>
        <f t="shared" si="19"/>
        <v>180063.36</v>
      </c>
      <c r="X72" s="306"/>
      <c r="Y72" s="306">
        <v>180063.36</v>
      </c>
      <c r="Z72" s="306" t="s">
        <v>276</v>
      </c>
      <c r="AA72" s="91"/>
      <c r="AB72" s="90"/>
      <c r="AC72" s="90"/>
      <c r="AD72" s="90"/>
    </row>
    <row r="73" spans="1:30" ht="12.75" customHeight="1">
      <c r="A73" s="92">
        <f t="shared" si="18"/>
        <v>36</v>
      </c>
      <c r="B73" s="31" t="s">
        <v>207</v>
      </c>
      <c r="C73" s="18">
        <f t="shared" si="16"/>
        <v>470523.95</v>
      </c>
      <c r="D73" s="17">
        <f t="shared" si="17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>
        <f t="shared" si="19"/>
        <v>470523.95</v>
      </c>
      <c r="X73" s="306"/>
      <c r="Y73" s="306">
        <v>470523.95</v>
      </c>
      <c r="Z73" s="306" t="s">
        <v>276</v>
      </c>
      <c r="AA73" s="91"/>
      <c r="AB73" s="90"/>
      <c r="AC73" s="90"/>
      <c r="AD73" s="90"/>
    </row>
    <row r="74" spans="1:30" ht="12.75" customHeight="1">
      <c r="A74" s="92">
        <f t="shared" si="18"/>
        <v>37</v>
      </c>
      <c r="B74" s="31" t="s">
        <v>208</v>
      </c>
      <c r="C74" s="18">
        <f t="shared" si="16"/>
        <v>470524.95</v>
      </c>
      <c r="D74" s="17">
        <f t="shared" si="17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>
        <v>470524.95</v>
      </c>
      <c r="X74" s="306"/>
      <c r="Y74" s="306">
        <v>470524.95</v>
      </c>
      <c r="Z74" s="306" t="s">
        <v>276</v>
      </c>
      <c r="AA74" s="91"/>
      <c r="AB74" s="90"/>
      <c r="AC74" s="90"/>
      <c r="AD74" s="90"/>
    </row>
    <row r="75" spans="1:30" ht="12.75" customHeight="1">
      <c r="A75" s="92">
        <f t="shared" si="18"/>
        <v>38</v>
      </c>
      <c r="B75" s="31" t="s">
        <v>209</v>
      </c>
      <c r="C75" s="18">
        <f t="shared" si="16"/>
        <v>322007.71</v>
      </c>
      <c r="D75" s="17">
        <f t="shared" si="17"/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>
        <f t="shared" si="19"/>
        <v>322007.71</v>
      </c>
      <c r="X75" s="306"/>
      <c r="Y75" s="306">
        <v>322007.71</v>
      </c>
      <c r="Z75" s="306" t="s">
        <v>276</v>
      </c>
      <c r="AA75" s="91"/>
      <c r="AB75" s="90"/>
      <c r="AC75" s="90"/>
      <c r="AD75" s="90"/>
    </row>
    <row r="76" spans="1:30" ht="12.75" customHeight="1">
      <c r="A76" s="92">
        <f t="shared" si="18"/>
        <v>39</v>
      </c>
      <c r="B76" s="31" t="s">
        <v>210</v>
      </c>
      <c r="C76" s="18">
        <f t="shared" si="16"/>
        <v>397603.11</v>
      </c>
      <c r="D76" s="17">
        <f t="shared" si="17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>
        <f t="shared" si="19"/>
        <v>397603.11</v>
      </c>
      <c r="X76" s="306"/>
      <c r="Y76" s="306">
        <v>397603.11</v>
      </c>
      <c r="Z76" s="306" t="s">
        <v>276</v>
      </c>
      <c r="AA76" s="91"/>
      <c r="AB76" s="90"/>
      <c r="AC76" s="90"/>
      <c r="AD76" s="90"/>
    </row>
    <row r="77" spans="1:30" ht="12.75" customHeight="1">
      <c r="A77" s="308" t="s">
        <v>64</v>
      </c>
      <c r="B77" s="308"/>
      <c r="C77" s="18">
        <f>SUM(C70:C76)</f>
        <v>2543376.16</v>
      </c>
      <c r="D77" s="18">
        <f aca="true" t="shared" si="20" ref="D77:W77">SUM(D70:D76)</f>
        <v>0</v>
      </c>
      <c r="E77" s="18">
        <f t="shared" si="20"/>
        <v>0</v>
      </c>
      <c r="F77" s="18">
        <f t="shared" si="20"/>
        <v>0</v>
      </c>
      <c r="G77" s="18">
        <f t="shared" si="20"/>
        <v>0</v>
      </c>
      <c r="H77" s="18">
        <f t="shared" si="20"/>
        <v>0</v>
      </c>
      <c r="I77" s="18">
        <f t="shared" si="20"/>
        <v>0</v>
      </c>
      <c r="J77" s="18">
        <f t="shared" si="20"/>
        <v>0</v>
      </c>
      <c r="K77" s="18">
        <f t="shared" si="20"/>
        <v>0</v>
      </c>
      <c r="L77" s="18">
        <f t="shared" si="20"/>
        <v>0</v>
      </c>
      <c r="M77" s="18">
        <f t="shared" si="20"/>
        <v>0</v>
      </c>
      <c r="N77" s="18">
        <f t="shared" si="20"/>
        <v>0</v>
      </c>
      <c r="O77" s="18">
        <f t="shared" si="20"/>
        <v>0</v>
      </c>
      <c r="P77" s="18">
        <f t="shared" si="20"/>
        <v>0</v>
      </c>
      <c r="Q77" s="18">
        <f t="shared" si="20"/>
        <v>0</v>
      </c>
      <c r="R77" s="18">
        <f t="shared" si="20"/>
        <v>0</v>
      </c>
      <c r="S77" s="18">
        <f t="shared" si="20"/>
        <v>0</v>
      </c>
      <c r="T77" s="18">
        <f t="shared" si="20"/>
        <v>0</v>
      </c>
      <c r="U77" s="18">
        <f t="shared" si="20"/>
        <v>0</v>
      </c>
      <c r="V77" s="18">
        <f t="shared" si="20"/>
        <v>0</v>
      </c>
      <c r="W77" s="18">
        <f t="shared" si="20"/>
        <v>2543376.16</v>
      </c>
      <c r="X77" s="306">
        <f>C77-W77</f>
        <v>0</v>
      </c>
      <c r="Y77" s="306"/>
      <c r="Z77" s="306"/>
      <c r="AA77" s="91"/>
      <c r="AB77" s="90"/>
      <c r="AC77" s="90"/>
      <c r="AD77" s="90"/>
    </row>
    <row r="78" spans="1:30" ht="12.75" customHeight="1">
      <c r="A78" s="341" t="s">
        <v>307</v>
      </c>
      <c r="B78" s="342"/>
      <c r="C78" s="345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306"/>
      <c r="Y78" s="306"/>
      <c r="Z78" s="306"/>
      <c r="AA78" s="91"/>
      <c r="AB78" s="90"/>
      <c r="AC78" s="90"/>
      <c r="AD78" s="90"/>
    </row>
    <row r="79" spans="1:30" ht="12.75" customHeight="1">
      <c r="A79" s="92">
        <f>A76+1</f>
        <v>40</v>
      </c>
      <c r="B79" s="102" t="s">
        <v>308</v>
      </c>
      <c r="C79" s="18">
        <f>D79+K79+M79+O79+Q79+S79+U79+V79+W79+X79</f>
        <v>246809.18</v>
      </c>
      <c r="D79" s="17">
        <f>E79+F79+G79+H79+I79</f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>
        <f>77101.66+169707.52</f>
        <v>246809.18</v>
      </c>
      <c r="X79" s="89"/>
      <c r="Y79" s="306"/>
      <c r="Z79" s="306" t="s">
        <v>313</v>
      </c>
      <c r="AA79" s="91"/>
      <c r="AB79" s="90"/>
      <c r="AC79" s="90"/>
      <c r="AD79" s="90"/>
    </row>
    <row r="80" spans="1:30" ht="12.75" customHeight="1">
      <c r="A80" s="92">
        <f>A79+1</f>
        <v>41</v>
      </c>
      <c r="B80" s="102" t="s">
        <v>309</v>
      </c>
      <c r="C80" s="18">
        <f>D80+K80+M80+O80+Q80+S80+U80+V80+W80+X80</f>
        <v>310951.48</v>
      </c>
      <c r="D80" s="17">
        <f>E80+F80+G80+H80+I80</f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>
        <f>79445.75+231505.73</f>
        <v>310951.48</v>
      </c>
      <c r="X80" s="89"/>
      <c r="Y80" s="306"/>
      <c r="Z80" s="306" t="s">
        <v>313</v>
      </c>
      <c r="AA80" s="91"/>
      <c r="AB80" s="90"/>
      <c r="AC80" s="90"/>
      <c r="AD80" s="90"/>
    </row>
    <row r="81" spans="1:30" ht="12.75" customHeight="1">
      <c r="A81" s="92">
        <f>A80+1</f>
        <v>42</v>
      </c>
      <c r="B81" s="102" t="s">
        <v>310</v>
      </c>
      <c r="C81" s="18">
        <f>D81+K81+M81+O81+Q81+S81+U81+V81+W81+X81</f>
        <v>310951.48</v>
      </c>
      <c r="D81" s="17">
        <f>E81+F81+G81+H81+I81</f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f>79445.75+231505.73</f>
        <v>310951.48</v>
      </c>
      <c r="X81" s="89"/>
      <c r="Y81" s="306"/>
      <c r="Z81" s="306" t="s">
        <v>313</v>
      </c>
      <c r="AA81" s="91"/>
      <c r="AB81" s="90"/>
      <c r="AC81" s="90"/>
      <c r="AD81" s="90"/>
    </row>
    <row r="82" spans="1:30" ht="12.75" customHeight="1">
      <c r="A82" s="92">
        <f>A81+1</f>
        <v>43</v>
      </c>
      <c r="B82" s="102" t="s">
        <v>311</v>
      </c>
      <c r="C82" s="18">
        <f>D82+K82+M82+O82+Q82+S82+U82+V82+W82+X82</f>
        <v>565961.65</v>
      </c>
      <c r="D82" s="17">
        <f>E82+F82+G82+H82+I82</f>
        <v>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>
        <f>153722.6+412239.05</f>
        <v>565961.65</v>
      </c>
      <c r="X82" s="89"/>
      <c r="Y82" s="306"/>
      <c r="Z82" s="306" t="s">
        <v>313</v>
      </c>
      <c r="AA82" s="91"/>
      <c r="AB82" s="90"/>
      <c r="AC82" s="90"/>
      <c r="AD82" s="90"/>
    </row>
    <row r="83" spans="1:30" ht="12.75" customHeight="1">
      <c r="A83" s="92">
        <f>A82+1</f>
        <v>44</v>
      </c>
      <c r="B83" s="102" t="s">
        <v>312</v>
      </c>
      <c r="C83" s="18">
        <f>D83+K83+M83+O83+Q83+S83+U83+V83+W83+X83</f>
        <v>271379.89</v>
      </c>
      <c r="D83" s="17">
        <f>E83+F83+G83+H83+I83</f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>
        <f>78681.69+192698.2</f>
        <v>271379.89</v>
      </c>
      <c r="X83" s="89"/>
      <c r="Y83" s="306"/>
      <c r="Z83" s="306" t="s">
        <v>313</v>
      </c>
      <c r="AA83" s="91"/>
      <c r="AB83" s="90"/>
      <c r="AC83" s="90"/>
      <c r="AD83" s="90"/>
    </row>
    <row r="84" spans="1:30" ht="12.75" customHeight="1">
      <c r="A84" s="308" t="s">
        <v>64</v>
      </c>
      <c r="B84" s="308"/>
      <c r="C84" s="18">
        <f>SUM(C79:C83)</f>
        <v>1706053.6800000002</v>
      </c>
      <c r="D84" s="18">
        <f aca="true" t="shared" si="21" ref="D84:W84">SUM(D79:D83)</f>
        <v>0</v>
      </c>
      <c r="E84" s="18">
        <f t="shared" si="21"/>
        <v>0</v>
      </c>
      <c r="F84" s="18">
        <f t="shared" si="21"/>
        <v>0</v>
      </c>
      <c r="G84" s="18">
        <f t="shared" si="21"/>
        <v>0</v>
      </c>
      <c r="H84" s="18">
        <f t="shared" si="21"/>
        <v>0</v>
      </c>
      <c r="I84" s="18">
        <f t="shared" si="21"/>
        <v>0</v>
      </c>
      <c r="J84" s="18">
        <f t="shared" si="21"/>
        <v>0</v>
      </c>
      <c r="K84" s="18">
        <f t="shared" si="21"/>
        <v>0</v>
      </c>
      <c r="L84" s="18">
        <f t="shared" si="21"/>
        <v>0</v>
      </c>
      <c r="M84" s="18">
        <f t="shared" si="21"/>
        <v>0</v>
      </c>
      <c r="N84" s="18">
        <f t="shared" si="21"/>
        <v>0</v>
      </c>
      <c r="O84" s="18">
        <f t="shared" si="21"/>
        <v>0</v>
      </c>
      <c r="P84" s="18">
        <f t="shared" si="21"/>
        <v>0</v>
      </c>
      <c r="Q84" s="18">
        <f t="shared" si="21"/>
        <v>0</v>
      </c>
      <c r="R84" s="18">
        <f t="shared" si="21"/>
        <v>0</v>
      </c>
      <c r="S84" s="18">
        <f t="shared" si="21"/>
        <v>0</v>
      </c>
      <c r="T84" s="18">
        <f t="shared" si="21"/>
        <v>0</v>
      </c>
      <c r="U84" s="18">
        <f t="shared" si="21"/>
        <v>0</v>
      </c>
      <c r="V84" s="18">
        <f t="shared" si="21"/>
        <v>0</v>
      </c>
      <c r="W84" s="18">
        <f t="shared" si="21"/>
        <v>1706053.6800000002</v>
      </c>
      <c r="X84" s="306">
        <f>C84-W84</f>
        <v>0</v>
      </c>
      <c r="Y84" s="306"/>
      <c r="Z84" s="306"/>
      <c r="AA84" s="91"/>
      <c r="AB84" s="90"/>
      <c r="AC84" s="90"/>
      <c r="AD84" s="90"/>
    </row>
    <row r="85" spans="1:30" ht="12.75" customHeight="1">
      <c r="A85" s="344" t="s">
        <v>105</v>
      </c>
      <c r="B85" s="344"/>
      <c r="C85" s="344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292"/>
      <c r="Z85" s="292"/>
      <c r="AA85" s="91"/>
      <c r="AB85" s="90"/>
      <c r="AC85" s="90"/>
      <c r="AD85" s="90"/>
    </row>
    <row r="86" spans="1:30" ht="12.75" customHeight="1">
      <c r="A86" s="92">
        <f>A83+1</f>
        <v>45</v>
      </c>
      <c r="B86" s="80" t="s">
        <v>369</v>
      </c>
      <c r="C86" s="18">
        <f>D86+K86+M86+O86+Q86+S86+U86+V86+W86+X86</f>
        <v>180927.48</v>
      </c>
      <c r="D86" s="17">
        <f>E86+F86+G86+H86+I86</f>
        <v>0</v>
      </c>
      <c r="E86" s="18"/>
      <c r="F86" s="18"/>
      <c r="G86" s="18"/>
      <c r="H86" s="18"/>
      <c r="I86" s="18"/>
      <c r="J86" s="18"/>
      <c r="K86" s="18"/>
      <c r="L86" s="238"/>
      <c r="M86" s="51"/>
      <c r="N86" s="18"/>
      <c r="O86" s="18"/>
      <c r="P86" s="18"/>
      <c r="Q86" s="18"/>
      <c r="R86" s="18"/>
      <c r="S86" s="18"/>
      <c r="T86" s="18"/>
      <c r="U86" s="18"/>
      <c r="V86" s="18"/>
      <c r="W86" s="18">
        <f>Y86</f>
        <v>180927.48</v>
      </c>
      <c r="X86" s="306"/>
      <c r="Y86" s="306">
        <f>180927.48</f>
        <v>180927.48</v>
      </c>
      <c r="Z86" s="306" t="s">
        <v>276</v>
      </c>
      <c r="AA86" s="91"/>
      <c r="AB86" s="90"/>
      <c r="AC86" s="90"/>
      <c r="AD86" s="90"/>
    </row>
    <row r="87" spans="1:30" ht="12.75" customHeight="1">
      <c r="A87" s="92">
        <f>A86+1</f>
        <v>46</v>
      </c>
      <c r="B87" s="80" t="s">
        <v>370</v>
      </c>
      <c r="C87" s="18">
        <f>D87+K87+M87+O87+Q87+S87+U87+V87+W87+X87</f>
        <v>180927.48</v>
      </c>
      <c r="D87" s="17">
        <f>E87+F87+G87+H87+I87</f>
        <v>0</v>
      </c>
      <c r="E87" s="18"/>
      <c r="F87" s="18"/>
      <c r="G87" s="18"/>
      <c r="H87" s="18"/>
      <c r="I87" s="18"/>
      <c r="J87" s="18"/>
      <c r="K87" s="18"/>
      <c r="L87" s="238"/>
      <c r="M87" s="51"/>
      <c r="N87" s="18"/>
      <c r="O87" s="18"/>
      <c r="P87" s="18"/>
      <c r="Q87" s="18"/>
      <c r="R87" s="18"/>
      <c r="S87" s="18"/>
      <c r="T87" s="18"/>
      <c r="U87" s="18"/>
      <c r="V87" s="18"/>
      <c r="W87" s="18">
        <f>Y87</f>
        <v>180927.48</v>
      </c>
      <c r="X87" s="306"/>
      <c r="Y87" s="306">
        <f>180927.48</f>
        <v>180927.48</v>
      </c>
      <c r="Z87" s="306" t="s">
        <v>276</v>
      </c>
      <c r="AA87" s="91"/>
      <c r="AB87" s="90"/>
      <c r="AC87" s="90"/>
      <c r="AD87" s="90"/>
    </row>
    <row r="88" spans="1:30" ht="12.75" customHeight="1">
      <c r="A88" s="308" t="s">
        <v>64</v>
      </c>
      <c r="B88" s="308"/>
      <c r="C88" s="18">
        <f aca="true" t="shared" si="22" ref="C88:W88">SUM(C86:C87)</f>
        <v>361854.96</v>
      </c>
      <c r="D88" s="18">
        <f t="shared" si="22"/>
        <v>0</v>
      </c>
      <c r="E88" s="18">
        <f t="shared" si="22"/>
        <v>0</v>
      </c>
      <c r="F88" s="18">
        <f t="shared" si="22"/>
        <v>0</v>
      </c>
      <c r="G88" s="18">
        <f t="shared" si="22"/>
        <v>0</v>
      </c>
      <c r="H88" s="18">
        <f t="shared" si="22"/>
        <v>0</v>
      </c>
      <c r="I88" s="18">
        <f t="shared" si="22"/>
        <v>0</v>
      </c>
      <c r="J88" s="18">
        <f t="shared" si="22"/>
        <v>0</v>
      </c>
      <c r="K88" s="18">
        <f t="shared" si="22"/>
        <v>0</v>
      </c>
      <c r="L88" s="18">
        <f t="shared" si="22"/>
        <v>0</v>
      </c>
      <c r="M88" s="18">
        <f t="shared" si="22"/>
        <v>0</v>
      </c>
      <c r="N88" s="18">
        <f t="shared" si="22"/>
        <v>0</v>
      </c>
      <c r="O88" s="18">
        <f t="shared" si="22"/>
        <v>0</v>
      </c>
      <c r="P88" s="18">
        <f t="shared" si="22"/>
        <v>0</v>
      </c>
      <c r="Q88" s="18">
        <f t="shared" si="22"/>
        <v>0</v>
      </c>
      <c r="R88" s="18">
        <f t="shared" si="22"/>
        <v>0</v>
      </c>
      <c r="S88" s="18">
        <f t="shared" si="22"/>
        <v>0</v>
      </c>
      <c r="T88" s="18">
        <f t="shared" si="22"/>
        <v>0</v>
      </c>
      <c r="U88" s="18">
        <f t="shared" si="22"/>
        <v>0</v>
      </c>
      <c r="V88" s="18">
        <f t="shared" si="22"/>
        <v>0</v>
      </c>
      <c r="W88" s="18">
        <f t="shared" si="22"/>
        <v>361854.96</v>
      </c>
      <c r="X88" s="306">
        <f>C88-W88</f>
        <v>0</v>
      </c>
      <c r="Y88" s="306"/>
      <c r="Z88" s="306"/>
      <c r="AA88" s="91">
        <f>E88+F88+G88+H88+I88+K88+M88+O88+Q88+S88+U88+W88+V88+X88</f>
        <v>361854.96</v>
      </c>
      <c r="AB88" s="90">
        <f>AA88-C88</f>
        <v>0</v>
      </c>
      <c r="AC88" s="90"/>
      <c r="AD88" s="90"/>
    </row>
    <row r="89" spans="1:30" ht="12.75" customHeight="1">
      <c r="A89" s="92"/>
      <c r="B89" s="29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306"/>
      <c r="Y89" s="306"/>
      <c r="Z89" s="306"/>
      <c r="AA89" s="91"/>
      <c r="AB89" s="90"/>
      <c r="AC89" s="90"/>
      <c r="AD89" s="90"/>
    </row>
    <row r="90" spans="1:31" ht="12.75" customHeight="1">
      <c r="A90" s="307" t="s">
        <v>73</v>
      </c>
      <c r="B90" s="307"/>
      <c r="C90" s="17">
        <f aca="true" t="shared" si="23" ref="C90:X90">C62+C88+C44+C68+C77+C84</f>
        <v>19734315.459000003</v>
      </c>
      <c r="D90" s="17">
        <f t="shared" si="23"/>
        <v>0</v>
      </c>
      <c r="E90" s="17">
        <f t="shared" si="23"/>
        <v>0</v>
      </c>
      <c r="F90" s="17">
        <f t="shared" si="23"/>
        <v>0</v>
      </c>
      <c r="G90" s="17">
        <f t="shared" si="23"/>
        <v>0</v>
      </c>
      <c r="H90" s="17">
        <f t="shared" si="23"/>
        <v>0</v>
      </c>
      <c r="I90" s="17">
        <f t="shared" si="23"/>
        <v>0</v>
      </c>
      <c r="J90" s="17">
        <f t="shared" si="23"/>
        <v>0</v>
      </c>
      <c r="K90" s="17">
        <f t="shared" si="23"/>
        <v>0</v>
      </c>
      <c r="L90" s="17">
        <f t="shared" si="23"/>
        <v>0</v>
      </c>
      <c r="M90" s="17">
        <f t="shared" si="23"/>
        <v>0</v>
      </c>
      <c r="N90" s="17">
        <f t="shared" si="23"/>
        <v>0</v>
      </c>
      <c r="O90" s="17">
        <f t="shared" si="23"/>
        <v>0</v>
      </c>
      <c r="P90" s="17">
        <f t="shared" si="23"/>
        <v>0</v>
      </c>
      <c r="Q90" s="17">
        <f t="shared" si="23"/>
        <v>0</v>
      </c>
      <c r="R90" s="17">
        <f t="shared" si="23"/>
        <v>0</v>
      </c>
      <c r="S90" s="17">
        <f t="shared" si="23"/>
        <v>0</v>
      </c>
      <c r="T90" s="17">
        <f t="shared" si="23"/>
        <v>0</v>
      </c>
      <c r="U90" s="17">
        <f t="shared" si="23"/>
        <v>0</v>
      </c>
      <c r="V90" s="17">
        <f t="shared" si="23"/>
        <v>0</v>
      </c>
      <c r="W90" s="17">
        <f t="shared" si="23"/>
        <v>19734315.459000003</v>
      </c>
      <c r="X90" s="292">
        <f t="shared" si="23"/>
        <v>0</v>
      </c>
      <c r="Y90" s="292"/>
      <c r="Z90" s="292"/>
      <c r="AA90" s="91"/>
      <c r="AB90" s="90"/>
      <c r="AC90" s="11"/>
      <c r="AD90" s="11"/>
      <c r="AE90" s="10"/>
    </row>
    <row r="91" spans="1:31" ht="12.75" customHeight="1">
      <c r="A91" s="334" t="s">
        <v>365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298"/>
      <c r="Z91" s="298"/>
      <c r="AA91" s="91"/>
      <c r="AB91" s="90"/>
      <c r="AC91" s="10"/>
      <c r="AD91" s="10"/>
      <c r="AE91" s="10"/>
    </row>
    <row r="92" spans="1:30" ht="12.75" customHeight="1">
      <c r="A92" s="341" t="s">
        <v>269</v>
      </c>
      <c r="B92" s="342"/>
      <c r="C92" s="34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304"/>
      <c r="Y92" s="304"/>
      <c r="Z92" s="304"/>
      <c r="AA92" s="91"/>
      <c r="AB92" s="90"/>
      <c r="AC92" s="90"/>
      <c r="AD92" s="90"/>
    </row>
    <row r="93" spans="1:30" ht="12.75" customHeight="1">
      <c r="A93" s="92">
        <f>A87+1</f>
        <v>47</v>
      </c>
      <c r="B93" s="24" t="s">
        <v>142</v>
      </c>
      <c r="C93" s="18">
        <f>D93+K93+M93+O93+Q93+S93+U93+V93+W93+X93</f>
        <v>149610.6</v>
      </c>
      <c r="D93" s="19">
        <f>SUM(E93+F93+G93+H93+I93)</f>
        <v>0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>
        <f>Y93</f>
        <v>149610.6</v>
      </c>
      <c r="X93" s="304"/>
      <c r="Y93" s="304">
        <v>149610.6</v>
      </c>
      <c r="Z93" s="304" t="s">
        <v>97</v>
      </c>
      <c r="AA93" s="91"/>
      <c r="AB93" s="90"/>
      <c r="AC93" s="90"/>
      <c r="AD93" s="90"/>
    </row>
    <row r="94" spans="1:30" ht="12.75" customHeight="1">
      <c r="A94" s="92">
        <f>A93+1</f>
        <v>48</v>
      </c>
      <c r="B94" s="24" t="s">
        <v>143</v>
      </c>
      <c r="C94" s="18">
        <f>D94+K94+M94+O94+Q94+S94+U94+V94+W94+X94</f>
        <v>91806.51</v>
      </c>
      <c r="D94" s="19">
        <f>SUM(E94+F94+G94+H94+I94)</f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>
        <f>Y94</f>
        <v>91806.51</v>
      </c>
      <c r="X94" s="304"/>
      <c r="Y94" s="304">
        <v>91806.51</v>
      </c>
      <c r="Z94" s="304" t="s">
        <v>276</v>
      </c>
      <c r="AA94" s="91"/>
      <c r="AB94" s="90"/>
      <c r="AC94" s="90"/>
      <c r="AD94" s="90"/>
    </row>
    <row r="95" spans="1:30" ht="12.75" customHeight="1">
      <c r="A95" s="92">
        <f>A94+1</f>
        <v>49</v>
      </c>
      <c r="B95" s="24" t="s">
        <v>144</v>
      </c>
      <c r="C95" s="18">
        <f>D95+K95+M95+O95+Q95+S95+U95+V95+W95+X95</f>
        <v>91304.05</v>
      </c>
      <c r="D95" s="19">
        <f>SUM(E95+F95+G95+H95+I95)</f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>
        <f>Y95</f>
        <v>91304.05</v>
      </c>
      <c r="X95" s="304"/>
      <c r="Y95" s="304">
        <v>91304.05</v>
      </c>
      <c r="Z95" s="304" t="s">
        <v>276</v>
      </c>
      <c r="AA95" s="91"/>
      <c r="AB95" s="90"/>
      <c r="AC95" s="90"/>
      <c r="AD95" s="90"/>
    </row>
    <row r="96" spans="1:30" ht="12.75" customHeight="1">
      <c r="A96" s="308" t="s">
        <v>64</v>
      </c>
      <c r="B96" s="308"/>
      <c r="C96" s="19">
        <f>SUM(C93:C95)</f>
        <v>332721.16</v>
      </c>
      <c r="D96" s="19">
        <f aca="true" t="shared" si="24" ref="D96:X96">SUM(D93:D95)</f>
        <v>0</v>
      </c>
      <c r="E96" s="19">
        <f t="shared" si="24"/>
        <v>0</v>
      </c>
      <c r="F96" s="19">
        <f t="shared" si="24"/>
        <v>0</v>
      </c>
      <c r="G96" s="19">
        <f t="shared" si="24"/>
        <v>0</v>
      </c>
      <c r="H96" s="19">
        <f t="shared" si="24"/>
        <v>0</v>
      </c>
      <c r="I96" s="19">
        <f t="shared" si="24"/>
        <v>0</v>
      </c>
      <c r="J96" s="19">
        <f t="shared" si="24"/>
        <v>0</v>
      </c>
      <c r="K96" s="19">
        <f t="shared" si="24"/>
        <v>0</v>
      </c>
      <c r="L96" s="19">
        <f t="shared" si="24"/>
        <v>0</v>
      </c>
      <c r="M96" s="19">
        <f t="shared" si="24"/>
        <v>0</v>
      </c>
      <c r="N96" s="19">
        <f t="shared" si="24"/>
        <v>0</v>
      </c>
      <c r="O96" s="19">
        <f t="shared" si="24"/>
        <v>0</v>
      </c>
      <c r="P96" s="19">
        <f t="shared" si="24"/>
        <v>0</v>
      </c>
      <c r="Q96" s="19">
        <f t="shared" si="24"/>
        <v>0</v>
      </c>
      <c r="R96" s="19">
        <f t="shared" si="24"/>
        <v>0</v>
      </c>
      <c r="S96" s="19">
        <f t="shared" si="24"/>
        <v>0</v>
      </c>
      <c r="T96" s="19">
        <f t="shared" si="24"/>
        <v>0</v>
      </c>
      <c r="U96" s="19">
        <f t="shared" si="24"/>
        <v>0</v>
      </c>
      <c r="V96" s="19">
        <f t="shared" si="24"/>
        <v>0</v>
      </c>
      <c r="W96" s="19">
        <f t="shared" si="24"/>
        <v>332721.16</v>
      </c>
      <c r="X96" s="304">
        <f t="shared" si="24"/>
        <v>0</v>
      </c>
      <c r="Y96" s="304"/>
      <c r="Z96" s="304"/>
      <c r="AA96" s="91"/>
      <c r="AB96" s="90"/>
      <c r="AC96" s="90"/>
      <c r="AD96" s="90"/>
    </row>
    <row r="97" spans="1:31" ht="12.75" customHeight="1">
      <c r="A97" s="307" t="s">
        <v>118</v>
      </c>
      <c r="B97" s="307"/>
      <c r="C97" s="307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292"/>
      <c r="Z97" s="292"/>
      <c r="AA97" s="91"/>
      <c r="AB97" s="90"/>
      <c r="AC97" s="10"/>
      <c r="AD97" s="10"/>
      <c r="AE97" s="10"/>
    </row>
    <row r="98" spans="1:31" ht="12.75" customHeight="1">
      <c r="A98" s="92">
        <f>A95+1</f>
        <v>50</v>
      </c>
      <c r="B98" s="30" t="s">
        <v>119</v>
      </c>
      <c r="C98" s="18">
        <f>D98+K98+M98+O98+Q98+S98+U98+V98+W98+X98</f>
        <v>703776.25</v>
      </c>
      <c r="D98" s="17">
        <f>E98+F98+G98+H98+I98</f>
        <v>0</v>
      </c>
      <c r="E98" s="17"/>
      <c r="F98" s="17"/>
      <c r="G98" s="17"/>
      <c r="H98" s="17"/>
      <c r="I98" s="17"/>
      <c r="J98" s="239"/>
      <c r="K98" s="96"/>
      <c r="L98" s="17"/>
      <c r="M98" s="17"/>
      <c r="N98" s="17"/>
      <c r="O98" s="17"/>
      <c r="P98" s="17"/>
      <c r="Q98" s="19"/>
      <c r="R98" s="17"/>
      <c r="S98" s="17"/>
      <c r="T98" s="17"/>
      <c r="U98" s="17"/>
      <c r="V98" s="17"/>
      <c r="W98" s="18">
        <f>703776.25</f>
        <v>703776.25</v>
      </c>
      <c r="X98" s="292"/>
      <c r="Y98" s="304">
        <f>525521.53+587652.94</f>
        <v>1113174.47</v>
      </c>
      <c r="Z98" s="304" t="s">
        <v>306</v>
      </c>
      <c r="AA98" s="91"/>
      <c r="AB98" s="90"/>
      <c r="AC98" s="10"/>
      <c r="AD98" s="10"/>
      <c r="AE98" s="10"/>
    </row>
    <row r="99" spans="1:31" ht="15" customHeight="1">
      <c r="A99" s="92">
        <f>A98+1</f>
        <v>51</v>
      </c>
      <c r="B99" s="30" t="s">
        <v>120</v>
      </c>
      <c r="C99" s="18">
        <f>D99+K99+M99+O99+Q99+S99+U99+V99+W99+X99</f>
        <v>1659763.99</v>
      </c>
      <c r="D99" s="17">
        <f>E99+F99+G99+H99+I99</f>
        <v>0</v>
      </c>
      <c r="E99" s="17"/>
      <c r="F99" s="17"/>
      <c r="G99" s="17"/>
      <c r="H99" s="17"/>
      <c r="I99" s="17"/>
      <c r="J99" s="239"/>
      <c r="K99" s="9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8">
        <f>1659763.99</f>
        <v>1659763.99</v>
      </c>
      <c r="X99" s="292"/>
      <c r="Y99" s="66">
        <v>928988.11</v>
      </c>
      <c r="Z99" s="304" t="s">
        <v>305</v>
      </c>
      <c r="AA99" s="91"/>
      <c r="AB99" s="90"/>
      <c r="AC99" s="10"/>
      <c r="AD99" s="10"/>
      <c r="AE99" s="10"/>
    </row>
    <row r="100" spans="1:31" ht="12.75" customHeight="1">
      <c r="A100" s="308" t="s">
        <v>64</v>
      </c>
      <c r="B100" s="308"/>
      <c r="C100" s="19">
        <f aca="true" t="shared" si="25" ref="C100:I100">SUM(C98:C99)</f>
        <v>2363540.24</v>
      </c>
      <c r="D100" s="19">
        <f t="shared" si="25"/>
        <v>0</v>
      </c>
      <c r="E100" s="19">
        <f t="shared" si="25"/>
        <v>0</v>
      </c>
      <c r="F100" s="19">
        <f t="shared" si="25"/>
        <v>0</v>
      </c>
      <c r="G100" s="19">
        <f t="shared" si="25"/>
        <v>0</v>
      </c>
      <c r="H100" s="19">
        <f t="shared" si="25"/>
        <v>0</v>
      </c>
      <c r="I100" s="19">
        <f t="shared" si="25"/>
        <v>0</v>
      </c>
      <c r="J100" s="19">
        <f aca="true" t="shared" si="26" ref="J100:X100">SUM(J98:J99)</f>
        <v>0</v>
      </c>
      <c r="K100" s="19">
        <f t="shared" si="26"/>
        <v>0</v>
      </c>
      <c r="L100" s="19">
        <f t="shared" si="26"/>
        <v>0</v>
      </c>
      <c r="M100" s="19">
        <f t="shared" si="26"/>
        <v>0</v>
      </c>
      <c r="N100" s="19">
        <f t="shared" si="26"/>
        <v>0</v>
      </c>
      <c r="O100" s="19">
        <f t="shared" si="26"/>
        <v>0</v>
      </c>
      <c r="P100" s="19">
        <f t="shared" si="26"/>
        <v>0</v>
      </c>
      <c r="Q100" s="19">
        <f t="shared" si="26"/>
        <v>0</v>
      </c>
      <c r="R100" s="19">
        <f t="shared" si="26"/>
        <v>0</v>
      </c>
      <c r="S100" s="19">
        <f t="shared" si="26"/>
        <v>0</v>
      </c>
      <c r="T100" s="19">
        <f t="shared" si="26"/>
        <v>0</v>
      </c>
      <c r="U100" s="19">
        <f t="shared" si="26"/>
        <v>0</v>
      </c>
      <c r="V100" s="19">
        <f t="shared" si="26"/>
        <v>0</v>
      </c>
      <c r="W100" s="19">
        <f t="shared" si="26"/>
        <v>2363540.24</v>
      </c>
      <c r="X100" s="304">
        <f t="shared" si="26"/>
        <v>0</v>
      </c>
      <c r="Y100" s="304"/>
      <c r="Z100" s="304"/>
      <c r="AA100" s="91">
        <f>E100+F100+G100+H100+I100+K100+M100+O100+Q100+S100+U100+W100+V100+X100</f>
        <v>2363540.24</v>
      </c>
      <c r="AB100" s="90">
        <f>AA100-C100</f>
        <v>0</v>
      </c>
      <c r="AC100" s="91"/>
      <c r="AD100" s="91"/>
      <c r="AE100" s="10"/>
    </row>
    <row r="101" spans="1:31" ht="12.75" customHeight="1">
      <c r="A101" s="307" t="s">
        <v>74</v>
      </c>
      <c r="B101" s="307"/>
      <c r="C101" s="307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292"/>
      <c r="Z101" s="292"/>
      <c r="AA101" s="91"/>
      <c r="AB101" s="90"/>
      <c r="AC101" s="10"/>
      <c r="AD101" s="10"/>
      <c r="AE101" s="10"/>
    </row>
    <row r="102" spans="1:31" ht="20.25" customHeight="1">
      <c r="A102" s="92">
        <f>A99+1</f>
        <v>52</v>
      </c>
      <c r="B102" s="68" t="s">
        <v>343</v>
      </c>
      <c r="C102" s="18">
        <f aca="true" t="shared" si="27" ref="C102:C120">D102+K102+M102+O102+Q102+S102+U102+V102+W102+X102</f>
        <v>1385943.06</v>
      </c>
      <c r="D102" s="17">
        <f aca="true" t="shared" si="28" ref="D102:D120">E102+F102+G102+H102+I102</f>
        <v>0</v>
      </c>
      <c r="E102" s="17"/>
      <c r="F102" s="17"/>
      <c r="G102" s="17"/>
      <c r="H102" s="17"/>
      <c r="I102" s="17"/>
      <c r="J102" s="19"/>
      <c r="K102" s="19"/>
      <c r="L102" s="19"/>
      <c r="M102" s="19"/>
      <c r="N102" s="17"/>
      <c r="O102" s="17"/>
      <c r="P102" s="19"/>
      <c r="Q102" s="19"/>
      <c r="R102" s="17"/>
      <c r="S102" s="17"/>
      <c r="T102" s="17"/>
      <c r="U102" s="17"/>
      <c r="V102" s="17"/>
      <c r="W102" s="19">
        <f>Y102</f>
        <v>1385943.06</v>
      </c>
      <c r="X102" s="292"/>
      <c r="Y102" s="66">
        <v>1385943.06</v>
      </c>
      <c r="Z102" s="304" t="s">
        <v>339</v>
      </c>
      <c r="AA102" s="91">
        <f aca="true" t="shared" si="29" ref="AA102:AA120">W102-Y102</f>
        <v>0</v>
      </c>
      <c r="AB102" s="90"/>
      <c r="AC102" s="10"/>
      <c r="AD102" s="10"/>
      <c r="AE102" s="10"/>
    </row>
    <row r="103" spans="1:31" ht="12.75" customHeight="1">
      <c r="A103" s="92">
        <f>A102+1</f>
        <v>53</v>
      </c>
      <c r="B103" s="68" t="s">
        <v>344</v>
      </c>
      <c r="C103" s="18">
        <f t="shared" si="27"/>
        <v>685741.68</v>
      </c>
      <c r="D103" s="17">
        <f t="shared" si="28"/>
        <v>0</v>
      </c>
      <c r="E103" s="17"/>
      <c r="F103" s="17"/>
      <c r="G103" s="17"/>
      <c r="H103" s="17"/>
      <c r="I103" s="17"/>
      <c r="J103" s="19"/>
      <c r="K103" s="19"/>
      <c r="L103" s="19"/>
      <c r="M103" s="19"/>
      <c r="N103" s="17"/>
      <c r="O103" s="17"/>
      <c r="P103" s="19"/>
      <c r="Q103" s="19"/>
      <c r="R103" s="17"/>
      <c r="S103" s="17"/>
      <c r="T103" s="17"/>
      <c r="U103" s="17"/>
      <c r="V103" s="17"/>
      <c r="W103" s="19">
        <f>Y103</f>
        <v>685741.68</v>
      </c>
      <c r="X103" s="292"/>
      <c r="Y103" s="66">
        <v>685741.68</v>
      </c>
      <c r="Z103" s="304" t="s">
        <v>283</v>
      </c>
      <c r="AA103" s="91">
        <f t="shared" si="29"/>
        <v>0</v>
      </c>
      <c r="AB103" s="90"/>
      <c r="AC103" s="10"/>
      <c r="AD103" s="10"/>
      <c r="AE103" s="10"/>
    </row>
    <row r="104" spans="1:31" ht="12.75" customHeight="1">
      <c r="A104" s="92">
        <f aca="true" t="shared" si="30" ref="A104:A120">A103+1</f>
        <v>54</v>
      </c>
      <c r="B104" s="69" t="s">
        <v>150</v>
      </c>
      <c r="C104" s="18">
        <f t="shared" si="27"/>
        <v>307306.73</v>
      </c>
      <c r="D104" s="17">
        <f t="shared" si="28"/>
        <v>0</v>
      </c>
      <c r="E104" s="19"/>
      <c r="F104" s="17"/>
      <c r="G104" s="17"/>
      <c r="H104" s="17"/>
      <c r="I104" s="17"/>
      <c r="J104" s="19"/>
      <c r="K104" s="19"/>
      <c r="L104" s="19"/>
      <c r="M104" s="19"/>
      <c r="N104" s="17"/>
      <c r="O104" s="17"/>
      <c r="P104" s="19"/>
      <c r="Q104" s="19"/>
      <c r="R104" s="17"/>
      <c r="S104" s="17"/>
      <c r="T104" s="17"/>
      <c r="U104" s="17"/>
      <c r="V104" s="17"/>
      <c r="W104" s="19">
        <f aca="true" t="shared" si="31" ref="W104:W120">Y104</f>
        <v>307306.73</v>
      </c>
      <c r="X104" s="292"/>
      <c r="Y104" s="66">
        <v>307306.73</v>
      </c>
      <c r="Z104" s="304" t="s">
        <v>97</v>
      </c>
      <c r="AA104" s="91">
        <f t="shared" si="29"/>
        <v>0</v>
      </c>
      <c r="AB104" s="90"/>
      <c r="AC104" s="10"/>
      <c r="AD104" s="10"/>
      <c r="AE104" s="10"/>
    </row>
    <row r="105" spans="1:31" ht="17.25" customHeight="1">
      <c r="A105" s="92">
        <f t="shared" si="30"/>
        <v>55</v>
      </c>
      <c r="B105" s="70" t="s">
        <v>151</v>
      </c>
      <c r="C105" s="18">
        <f t="shared" si="27"/>
        <v>520822.84</v>
      </c>
      <c r="D105" s="17">
        <f t="shared" si="28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8"/>
      <c r="O105" s="19"/>
      <c r="P105" s="19"/>
      <c r="Q105" s="19"/>
      <c r="R105" s="19"/>
      <c r="S105" s="19"/>
      <c r="T105" s="19"/>
      <c r="U105" s="19"/>
      <c r="V105" s="17"/>
      <c r="W105" s="19">
        <f t="shared" si="31"/>
        <v>520822.84</v>
      </c>
      <c r="X105" s="306"/>
      <c r="Y105" s="66">
        <v>520822.84</v>
      </c>
      <c r="Z105" s="304" t="s">
        <v>97</v>
      </c>
      <c r="AA105" s="91">
        <f t="shared" si="29"/>
        <v>0</v>
      </c>
      <c r="AB105" s="90"/>
      <c r="AC105" s="91"/>
      <c r="AD105" s="91"/>
      <c r="AE105" s="10"/>
    </row>
    <row r="106" spans="1:31" ht="12.75" customHeight="1">
      <c r="A106" s="92">
        <f>A105+1</f>
        <v>56</v>
      </c>
      <c r="B106" s="68" t="s">
        <v>152</v>
      </c>
      <c r="C106" s="18">
        <f t="shared" si="27"/>
        <v>459165.16</v>
      </c>
      <c r="D106" s="17">
        <f t="shared" si="28"/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8"/>
      <c r="O106" s="19"/>
      <c r="P106" s="19"/>
      <c r="Q106" s="19"/>
      <c r="R106" s="19"/>
      <c r="S106" s="19"/>
      <c r="T106" s="19"/>
      <c r="U106" s="19"/>
      <c r="V106" s="17"/>
      <c r="W106" s="19">
        <f t="shared" si="31"/>
        <v>459165.16</v>
      </c>
      <c r="X106" s="306"/>
      <c r="Y106" s="66">
        <v>459165.16</v>
      </c>
      <c r="Z106" s="304" t="s">
        <v>283</v>
      </c>
      <c r="AA106" s="91">
        <f t="shared" si="29"/>
        <v>0</v>
      </c>
      <c r="AB106" s="90"/>
      <c r="AC106" s="91"/>
      <c r="AD106" s="91"/>
      <c r="AE106" s="10"/>
    </row>
    <row r="107" spans="1:30" ht="18" customHeight="1">
      <c r="A107" s="92">
        <f t="shared" si="30"/>
        <v>57</v>
      </c>
      <c r="B107" s="68" t="s">
        <v>153</v>
      </c>
      <c r="C107" s="18">
        <f t="shared" si="27"/>
        <v>364005.52</v>
      </c>
      <c r="D107" s="17">
        <f t="shared" si="28"/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8"/>
      <c r="O107" s="19"/>
      <c r="P107" s="19"/>
      <c r="Q107" s="19"/>
      <c r="R107" s="19"/>
      <c r="S107" s="19"/>
      <c r="T107" s="19"/>
      <c r="U107" s="19"/>
      <c r="V107" s="17"/>
      <c r="W107" s="19">
        <f t="shared" si="31"/>
        <v>364005.52</v>
      </c>
      <c r="X107" s="306"/>
      <c r="Y107" s="66">
        <v>364005.52</v>
      </c>
      <c r="Z107" s="304" t="s">
        <v>97</v>
      </c>
      <c r="AA107" s="91">
        <f t="shared" si="29"/>
        <v>0</v>
      </c>
      <c r="AB107" s="90"/>
      <c r="AC107" s="90"/>
      <c r="AD107" s="90"/>
    </row>
    <row r="108" spans="1:30" ht="12.75">
      <c r="A108" s="92">
        <f t="shared" si="30"/>
        <v>58</v>
      </c>
      <c r="B108" s="68" t="s">
        <v>154</v>
      </c>
      <c r="C108" s="18">
        <f t="shared" si="27"/>
        <v>364005.52</v>
      </c>
      <c r="D108" s="17">
        <f t="shared" si="28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8"/>
      <c r="O108" s="19"/>
      <c r="P108" s="19"/>
      <c r="Q108" s="19"/>
      <c r="R108" s="19"/>
      <c r="S108" s="19"/>
      <c r="T108" s="19"/>
      <c r="U108" s="19"/>
      <c r="V108" s="17"/>
      <c r="W108" s="19">
        <f t="shared" si="31"/>
        <v>364005.52</v>
      </c>
      <c r="X108" s="306"/>
      <c r="Y108" s="66">
        <v>364005.52</v>
      </c>
      <c r="Z108" s="304" t="s">
        <v>97</v>
      </c>
      <c r="AA108" s="91">
        <f t="shared" si="29"/>
        <v>0</v>
      </c>
      <c r="AB108" s="90"/>
      <c r="AC108" s="90"/>
      <c r="AD108" s="90"/>
    </row>
    <row r="109" spans="1:30" ht="12.75" customHeight="1">
      <c r="A109" s="92">
        <f t="shared" si="30"/>
        <v>59</v>
      </c>
      <c r="B109" s="70" t="s">
        <v>155</v>
      </c>
      <c r="C109" s="18">
        <f t="shared" si="27"/>
        <v>518006.6</v>
      </c>
      <c r="D109" s="17">
        <f t="shared" si="28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7"/>
      <c r="U109" s="17"/>
      <c r="V109" s="18"/>
      <c r="W109" s="19">
        <f t="shared" si="31"/>
        <v>518006.6</v>
      </c>
      <c r="X109" s="306"/>
      <c r="Y109" s="66">
        <v>518006.6</v>
      </c>
      <c r="Z109" s="304" t="s">
        <v>97</v>
      </c>
      <c r="AA109" s="91">
        <f t="shared" si="29"/>
        <v>0</v>
      </c>
      <c r="AB109" s="90"/>
      <c r="AC109" s="10"/>
      <c r="AD109" s="10"/>
    </row>
    <row r="110" spans="1:30" ht="12.75" customHeight="1">
      <c r="A110" s="92">
        <f t="shared" si="30"/>
        <v>60</v>
      </c>
      <c r="B110" s="70" t="s">
        <v>156</v>
      </c>
      <c r="C110" s="18">
        <f t="shared" si="27"/>
        <v>701367.15</v>
      </c>
      <c r="D110" s="17">
        <f t="shared" si="28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>
        <f t="shared" si="31"/>
        <v>701367.15</v>
      </c>
      <c r="X110" s="304"/>
      <c r="Y110" s="304">
        <f>240409.34+460957.81</f>
        <v>701367.15</v>
      </c>
      <c r="Z110" s="304" t="s">
        <v>279</v>
      </c>
      <c r="AA110" s="91">
        <f t="shared" si="29"/>
        <v>0</v>
      </c>
      <c r="AB110" s="90"/>
      <c r="AC110" s="10"/>
      <c r="AD110" s="10"/>
    </row>
    <row r="111" spans="1:30" ht="12.75">
      <c r="A111" s="92">
        <f t="shared" si="30"/>
        <v>61</v>
      </c>
      <c r="B111" s="68" t="s">
        <v>157</v>
      </c>
      <c r="C111" s="18">
        <f t="shared" si="27"/>
        <v>244633.09</v>
      </c>
      <c r="D111" s="17">
        <f t="shared" si="28"/>
        <v>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9">
        <f t="shared" si="31"/>
        <v>244633.09</v>
      </c>
      <c r="X111" s="304"/>
      <c r="Y111" s="66">
        <v>244633.09</v>
      </c>
      <c r="Z111" s="304" t="s">
        <v>97</v>
      </c>
      <c r="AA111" s="91">
        <f t="shared" si="29"/>
        <v>0</v>
      </c>
      <c r="AB111" s="90"/>
      <c r="AC111" s="90"/>
      <c r="AD111" s="90"/>
    </row>
    <row r="112" spans="1:30" ht="12.75" customHeight="1">
      <c r="A112" s="92">
        <f t="shared" si="30"/>
        <v>62</v>
      </c>
      <c r="B112" s="68" t="s">
        <v>158</v>
      </c>
      <c r="C112" s="18">
        <f t="shared" si="27"/>
        <v>715670.01</v>
      </c>
      <c r="D112" s="17">
        <f t="shared" si="28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9">
        <f t="shared" si="31"/>
        <v>715670.01</v>
      </c>
      <c r="X112" s="304"/>
      <c r="Y112" s="66">
        <v>715670.01</v>
      </c>
      <c r="Z112" s="304" t="s">
        <v>283</v>
      </c>
      <c r="AA112" s="91">
        <f t="shared" si="29"/>
        <v>0</v>
      </c>
      <c r="AB112" s="90"/>
      <c r="AC112" s="10"/>
      <c r="AD112" s="10"/>
    </row>
    <row r="113" spans="1:30" ht="12.75" customHeight="1">
      <c r="A113" s="92">
        <f t="shared" si="30"/>
        <v>63</v>
      </c>
      <c r="B113" s="68" t="s">
        <v>159</v>
      </c>
      <c r="C113" s="18">
        <f t="shared" si="27"/>
        <v>227357.43</v>
      </c>
      <c r="D113" s="17">
        <f t="shared" si="28"/>
        <v>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8"/>
      <c r="V113" s="17"/>
      <c r="W113" s="19">
        <f t="shared" si="31"/>
        <v>227357.43</v>
      </c>
      <c r="X113" s="306"/>
      <c r="Y113" s="66">
        <v>227357.43</v>
      </c>
      <c r="Z113" s="304" t="s">
        <v>283</v>
      </c>
      <c r="AA113" s="91">
        <f t="shared" si="29"/>
        <v>0</v>
      </c>
      <c r="AB113" s="90"/>
      <c r="AC113" s="10"/>
      <c r="AD113" s="10"/>
    </row>
    <row r="114" spans="1:30" ht="12.75" customHeight="1">
      <c r="A114" s="92">
        <f t="shared" si="30"/>
        <v>64</v>
      </c>
      <c r="B114" s="68" t="s">
        <v>160</v>
      </c>
      <c r="C114" s="18">
        <f t="shared" si="27"/>
        <v>460770.79</v>
      </c>
      <c r="D114" s="17">
        <f t="shared" si="28"/>
        <v>0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7"/>
      <c r="W114" s="19">
        <f>Y114</f>
        <v>460770.79</v>
      </c>
      <c r="X114" s="304"/>
      <c r="Y114" s="66">
        <v>460770.79</v>
      </c>
      <c r="Z114" s="304" t="s">
        <v>283</v>
      </c>
      <c r="AA114" s="91">
        <f t="shared" si="29"/>
        <v>0</v>
      </c>
      <c r="AB114" s="90"/>
      <c r="AC114" s="10"/>
      <c r="AD114" s="10"/>
    </row>
    <row r="115" spans="1:30" ht="12.75" customHeight="1">
      <c r="A115" s="92">
        <f t="shared" si="30"/>
        <v>65</v>
      </c>
      <c r="B115" s="70" t="s">
        <v>161</v>
      </c>
      <c r="C115" s="18">
        <f t="shared" si="27"/>
        <v>373902.93000000005</v>
      </c>
      <c r="D115" s="17">
        <f t="shared" si="28"/>
        <v>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9">
        <f t="shared" si="31"/>
        <v>373902.93000000005</v>
      </c>
      <c r="X115" s="304"/>
      <c r="Y115" s="304">
        <f>140018.23+233884.7</f>
        <v>373902.93000000005</v>
      </c>
      <c r="Z115" s="304" t="s">
        <v>279</v>
      </c>
      <c r="AA115" s="91">
        <f t="shared" si="29"/>
        <v>0</v>
      </c>
      <c r="AB115" s="90"/>
      <c r="AC115" s="10"/>
      <c r="AD115" s="10"/>
    </row>
    <row r="116" spans="1:31" ht="12.75" customHeight="1">
      <c r="A116" s="92">
        <f t="shared" si="30"/>
        <v>66</v>
      </c>
      <c r="B116" s="68" t="s">
        <v>162</v>
      </c>
      <c r="C116" s="18">
        <f t="shared" si="27"/>
        <v>305709.1</v>
      </c>
      <c r="D116" s="17">
        <f t="shared" si="28"/>
        <v>0</v>
      </c>
      <c r="E116" s="17"/>
      <c r="F116" s="17"/>
      <c r="G116" s="17"/>
      <c r="H116" s="17"/>
      <c r="I116" s="17"/>
      <c r="J116" s="19"/>
      <c r="K116" s="19"/>
      <c r="L116" s="19"/>
      <c r="M116" s="19"/>
      <c r="N116" s="17"/>
      <c r="O116" s="17"/>
      <c r="P116" s="19"/>
      <c r="Q116" s="19"/>
      <c r="R116" s="19"/>
      <c r="S116" s="19"/>
      <c r="T116" s="19"/>
      <c r="U116" s="19"/>
      <c r="V116" s="17"/>
      <c r="W116" s="19">
        <f t="shared" si="31"/>
        <v>305709.1</v>
      </c>
      <c r="X116" s="292"/>
      <c r="Y116" s="66">
        <v>305709.1</v>
      </c>
      <c r="Z116" s="304" t="s">
        <v>97</v>
      </c>
      <c r="AA116" s="91">
        <f t="shared" si="29"/>
        <v>0</v>
      </c>
      <c r="AB116" s="90"/>
      <c r="AC116" s="10"/>
      <c r="AD116" s="10"/>
      <c r="AE116" s="10"/>
    </row>
    <row r="117" spans="1:31" ht="12.75" customHeight="1">
      <c r="A117" s="92">
        <f t="shared" si="30"/>
        <v>67</v>
      </c>
      <c r="B117" s="68" t="s">
        <v>163</v>
      </c>
      <c r="C117" s="18">
        <f t="shared" si="27"/>
        <v>449666.04</v>
      </c>
      <c r="D117" s="17">
        <f t="shared" si="28"/>
        <v>0</v>
      </c>
      <c r="E117" s="17"/>
      <c r="F117" s="17"/>
      <c r="G117" s="17"/>
      <c r="H117" s="17"/>
      <c r="I117" s="17"/>
      <c r="J117" s="19"/>
      <c r="K117" s="19"/>
      <c r="L117" s="19"/>
      <c r="M117" s="19"/>
      <c r="N117" s="17"/>
      <c r="O117" s="17"/>
      <c r="P117" s="19"/>
      <c r="Q117" s="19"/>
      <c r="R117" s="19"/>
      <c r="S117" s="19"/>
      <c r="T117" s="19"/>
      <c r="U117" s="19"/>
      <c r="V117" s="17"/>
      <c r="W117" s="19">
        <f t="shared" si="31"/>
        <v>449666.04</v>
      </c>
      <c r="X117" s="292"/>
      <c r="Y117" s="304">
        <f>167729.81+281936.23</f>
        <v>449666.04</v>
      </c>
      <c r="Z117" s="304" t="s">
        <v>279</v>
      </c>
      <c r="AA117" s="91">
        <f t="shared" si="29"/>
        <v>0</v>
      </c>
      <c r="AB117" s="90"/>
      <c r="AC117" s="10"/>
      <c r="AD117" s="10"/>
      <c r="AE117" s="10"/>
    </row>
    <row r="118" spans="1:30" ht="12.75">
      <c r="A118" s="92">
        <f t="shared" si="30"/>
        <v>68</v>
      </c>
      <c r="B118" s="68" t="s">
        <v>164</v>
      </c>
      <c r="C118" s="18">
        <f t="shared" si="27"/>
        <v>457242.36</v>
      </c>
      <c r="D118" s="17">
        <f t="shared" si="28"/>
        <v>0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7"/>
      <c r="W118" s="19">
        <f t="shared" si="31"/>
        <v>457242.36</v>
      </c>
      <c r="X118" s="304"/>
      <c r="Y118" s="304">
        <f>170500.96+286741.4</f>
        <v>457242.36</v>
      </c>
      <c r="Z118" s="304" t="s">
        <v>279</v>
      </c>
      <c r="AA118" s="91">
        <f t="shared" si="29"/>
        <v>0</v>
      </c>
      <c r="AB118" s="90"/>
      <c r="AC118" s="90"/>
      <c r="AD118" s="90"/>
    </row>
    <row r="119" spans="1:30" ht="15" customHeight="1">
      <c r="A119" s="92">
        <f t="shared" si="30"/>
        <v>69</v>
      </c>
      <c r="B119" s="68" t="s">
        <v>165</v>
      </c>
      <c r="C119" s="18">
        <f t="shared" si="27"/>
        <v>341304.8</v>
      </c>
      <c r="D119" s="17">
        <f t="shared" si="28"/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7"/>
      <c r="W119" s="19">
        <f t="shared" si="31"/>
        <v>341304.8</v>
      </c>
      <c r="X119" s="304"/>
      <c r="Y119" s="304">
        <f>127860.29+213444.51</f>
        <v>341304.8</v>
      </c>
      <c r="Z119" s="304" t="s">
        <v>279</v>
      </c>
      <c r="AA119" s="91">
        <f t="shared" si="29"/>
        <v>0</v>
      </c>
      <c r="AB119" s="90"/>
      <c r="AC119" s="90"/>
      <c r="AD119" s="90"/>
    </row>
    <row r="120" spans="1:30" ht="12.75" customHeight="1">
      <c r="A120" s="92">
        <f t="shared" si="30"/>
        <v>70</v>
      </c>
      <c r="B120" s="68" t="s">
        <v>166</v>
      </c>
      <c r="C120" s="18">
        <f t="shared" si="27"/>
        <v>497317.05000000005</v>
      </c>
      <c r="D120" s="17">
        <f t="shared" si="28"/>
        <v>0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7"/>
      <c r="W120" s="19">
        <f t="shared" si="31"/>
        <v>497317.05000000005</v>
      </c>
      <c r="X120" s="304"/>
      <c r="Y120" s="304">
        <f>185158.92+312158.13</f>
        <v>497317.05000000005</v>
      </c>
      <c r="Z120" s="304" t="s">
        <v>279</v>
      </c>
      <c r="AA120" s="91">
        <f t="shared" si="29"/>
        <v>0</v>
      </c>
      <c r="AB120" s="90"/>
      <c r="AC120" s="10"/>
      <c r="AD120" s="10"/>
    </row>
    <row r="121" spans="1:30" ht="12.75" customHeight="1">
      <c r="A121" s="308" t="s">
        <v>64</v>
      </c>
      <c r="B121" s="308"/>
      <c r="C121" s="19">
        <f aca="true" t="shared" si="32" ref="C121:X121">SUM(C102:C120)</f>
        <v>9379937.860000001</v>
      </c>
      <c r="D121" s="19">
        <f t="shared" si="32"/>
        <v>0</v>
      </c>
      <c r="E121" s="19">
        <f t="shared" si="32"/>
        <v>0</v>
      </c>
      <c r="F121" s="19">
        <f t="shared" si="32"/>
        <v>0</v>
      </c>
      <c r="G121" s="19">
        <f t="shared" si="32"/>
        <v>0</v>
      </c>
      <c r="H121" s="19">
        <f t="shared" si="32"/>
        <v>0</v>
      </c>
      <c r="I121" s="19">
        <f t="shared" si="32"/>
        <v>0</v>
      </c>
      <c r="J121" s="19">
        <f t="shared" si="32"/>
        <v>0</v>
      </c>
      <c r="K121" s="19">
        <f t="shared" si="32"/>
        <v>0</v>
      </c>
      <c r="L121" s="19">
        <f t="shared" si="32"/>
        <v>0</v>
      </c>
      <c r="M121" s="19">
        <f t="shared" si="32"/>
        <v>0</v>
      </c>
      <c r="N121" s="19">
        <f t="shared" si="32"/>
        <v>0</v>
      </c>
      <c r="O121" s="19">
        <f t="shared" si="32"/>
        <v>0</v>
      </c>
      <c r="P121" s="19">
        <f t="shared" si="32"/>
        <v>0</v>
      </c>
      <c r="Q121" s="19">
        <f t="shared" si="32"/>
        <v>0</v>
      </c>
      <c r="R121" s="19">
        <f t="shared" si="32"/>
        <v>0</v>
      </c>
      <c r="S121" s="19">
        <f t="shared" si="32"/>
        <v>0</v>
      </c>
      <c r="T121" s="19">
        <f t="shared" si="32"/>
        <v>0</v>
      </c>
      <c r="U121" s="19">
        <f t="shared" si="32"/>
        <v>0</v>
      </c>
      <c r="V121" s="19">
        <f t="shared" si="32"/>
        <v>0</v>
      </c>
      <c r="W121" s="19">
        <f t="shared" si="32"/>
        <v>9379937.860000001</v>
      </c>
      <c r="X121" s="304">
        <f t="shared" si="32"/>
        <v>0</v>
      </c>
      <c r="Y121" s="304"/>
      <c r="Z121" s="304"/>
      <c r="AA121" s="91">
        <f>E121+F121+G121+H121+I121+K121+M121+O121+Q121+S121+U121+W121+V121+X121</f>
        <v>9379937.860000001</v>
      </c>
      <c r="AB121" s="90">
        <f>AA121-C121</f>
        <v>0</v>
      </c>
      <c r="AC121" s="90"/>
      <c r="AD121" s="90"/>
    </row>
    <row r="122" spans="1:31" ht="12.75" customHeight="1">
      <c r="A122" s="307" t="s">
        <v>75</v>
      </c>
      <c r="B122" s="307"/>
      <c r="C122" s="17">
        <f>C100+C121+C96</f>
        <v>12076199.260000002</v>
      </c>
      <c r="D122" s="17">
        <f aca="true" t="shared" si="33" ref="D122:V122">D100+D121</f>
        <v>0</v>
      </c>
      <c r="E122" s="17">
        <f t="shared" si="33"/>
        <v>0</v>
      </c>
      <c r="F122" s="17">
        <f t="shared" si="33"/>
        <v>0</v>
      </c>
      <c r="G122" s="17">
        <f t="shared" si="33"/>
        <v>0</v>
      </c>
      <c r="H122" s="17">
        <f t="shared" si="33"/>
        <v>0</v>
      </c>
      <c r="I122" s="17">
        <f t="shared" si="33"/>
        <v>0</v>
      </c>
      <c r="J122" s="17">
        <f t="shared" si="33"/>
        <v>0</v>
      </c>
      <c r="K122" s="17">
        <f t="shared" si="33"/>
        <v>0</v>
      </c>
      <c r="L122" s="17">
        <f t="shared" si="33"/>
        <v>0</v>
      </c>
      <c r="M122" s="17">
        <f t="shared" si="33"/>
        <v>0</v>
      </c>
      <c r="N122" s="17">
        <f t="shared" si="33"/>
        <v>0</v>
      </c>
      <c r="O122" s="17">
        <f t="shared" si="33"/>
        <v>0</v>
      </c>
      <c r="P122" s="17">
        <f t="shared" si="33"/>
        <v>0</v>
      </c>
      <c r="Q122" s="17">
        <f t="shared" si="33"/>
        <v>0</v>
      </c>
      <c r="R122" s="17">
        <f t="shared" si="33"/>
        <v>0</v>
      </c>
      <c r="S122" s="17">
        <f t="shared" si="33"/>
        <v>0</v>
      </c>
      <c r="T122" s="17">
        <f t="shared" si="33"/>
        <v>0</v>
      </c>
      <c r="U122" s="17">
        <f t="shared" si="33"/>
        <v>0</v>
      </c>
      <c r="V122" s="17">
        <f t="shared" si="33"/>
        <v>0</v>
      </c>
      <c r="W122" s="17">
        <f>W100+W121+W96</f>
        <v>12076199.260000002</v>
      </c>
      <c r="X122" s="306">
        <f>C122-W122</f>
        <v>0</v>
      </c>
      <c r="Y122" s="292"/>
      <c r="Z122" s="292"/>
      <c r="AA122" s="91"/>
      <c r="AB122" s="90"/>
      <c r="AC122" s="11"/>
      <c r="AD122" s="11"/>
      <c r="AE122" s="10"/>
    </row>
    <row r="123" spans="1:31" ht="12.75" customHeight="1">
      <c r="A123" s="334" t="s">
        <v>366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298"/>
      <c r="Z123" s="298"/>
      <c r="AA123" s="91"/>
      <c r="AB123" s="90"/>
      <c r="AC123" s="11"/>
      <c r="AD123" s="11"/>
      <c r="AE123" s="10"/>
    </row>
    <row r="124" spans="1:31" ht="12.75" customHeight="1">
      <c r="A124" s="341" t="s">
        <v>270</v>
      </c>
      <c r="B124" s="342"/>
      <c r="C124" s="345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301"/>
      <c r="Y124" s="292"/>
      <c r="Z124" s="292"/>
      <c r="AA124" s="91"/>
      <c r="AB124" s="90"/>
      <c r="AC124" s="11"/>
      <c r="AD124" s="11"/>
      <c r="AE124" s="10"/>
    </row>
    <row r="125" spans="1:31" ht="12.75" customHeight="1">
      <c r="A125" s="92">
        <f>A120+1</f>
        <v>71</v>
      </c>
      <c r="B125" s="102" t="s">
        <v>217</v>
      </c>
      <c r="C125" s="18">
        <f>D125+K125+M125+O125+Q125+S125+U125+V125+W125+X125</f>
        <v>139506.75</v>
      </c>
      <c r="D125" s="226"/>
      <c r="E125" s="226"/>
      <c r="F125" s="226"/>
      <c r="G125" s="226"/>
      <c r="H125" s="226"/>
      <c r="I125" s="226"/>
      <c r="J125" s="226"/>
      <c r="K125" s="226"/>
      <c r="L125" s="19"/>
      <c r="M125" s="19"/>
      <c r="N125" s="226"/>
      <c r="O125" s="226"/>
      <c r="P125" s="226"/>
      <c r="Q125" s="226"/>
      <c r="R125" s="226"/>
      <c r="S125" s="226"/>
      <c r="T125" s="226"/>
      <c r="U125" s="226"/>
      <c r="V125" s="226"/>
      <c r="W125" s="296">
        <f>Y125</f>
        <v>139506.75</v>
      </c>
      <c r="X125" s="301"/>
      <c r="Y125" s="66">
        <v>139506.75</v>
      </c>
      <c r="Z125" s="304" t="s">
        <v>276</v>
      </c>
      <c r="AA125" s="91" t="s">
        <v>219</v>
      </c>
      <c r="AB125" s="90"/>
      <c r="AC125" s="11"/>
      <c r="AD125" s="11"/>
      <c r="AE125" s="10"/>
    </row>
    <row r="126" spans="1:31" ht="12.75" customHeight="1">
      <c r="A126" s="92">
        <f>A125+1</f>
        <v>72</v>
      </c>
      <c r="B126" s="102" t="s">
        <v>218</v>
      </c>
      <c r="C126" s="18">
        <f>D126+K126+M126+O126+Q126+S126+U126+V126+W126+X126</f>
        <v>186738.13</v>
      </c>
      <c r="D126" s="226"/>
      <c r="E126" s="226"/>
      <c r="F126" s="226"/>
      <c r="G126" s="226"/>
      <c r="H126" s="226"/>
      <c r="I126" s="226"/>
      <c r="J126" s="226"/>
      <c r="K126" s="226"/>
      <c r="L126" s="19"/>
      <c r="M126" s="19"/>
      <c r="N126" s="226"/>
      <c r="O126" s="226"/>
      <c r="P126" s="226"/>
      <c r="Q126" s="226"/>
      <c r="R126" s="226"/>
      <c r="S126" s="226"/>
      <c r="T126" s="226"/>
      <c r="U126" s="226"/>
      <c r="V126" s="226"/>
      <c r="W126" s="296">
        <f>Y126</f>
        <v>186738.13</v>
      </c>
      <c r="X126" s="301"/>
      <c r="Y126" s="66">
        <v>186738.13</v>
      </c>
      <c r="Z126" s="304" t="s">
        <v>276</v>
      </c>
      <c r="AA126" s="91"/>
      <c r="AB126" s="90"/>
      <c r="AC126" s="11"/>
      <c r="AD126" s="11"/>
      <c r="AE126" s="10"/>
    </row>
    <row r="127" spans="1:31" ht="12.75" customHeight="1">
      <c r="A127" s="308" t="s">
        <v>64</v>
      </c>
      <c r="B127" s="308"/>
      <c r="C127" s="19">
        <f>SUM(C125:C126)</f>
        <v>326244.88</v>
      </c>
      <c r="D127" s="19">
        <f aca="true" t="shared" si="34" ref="D127:W127">SUM(D125:D126)</f>
        <v>0</v>
      </c>
      <c r="E127" s="19">
        <f t="shared" si="34"/>
        <v>0</v>
      </c>
      <c r="F127" s="19">
        <f t="shared" si="34"/>
        <v>0</v>
      </c>
      <c r="G127" s="19">
        <f t="shared" si="34"/>
        <v>0</v>
      </c>
      <c r="H127" s="19">
        <f t="shared" si="34"/>
        <v>0</v>
      </c>
      <c r="I127" s="19">
        <f t="shared" si="34"/>
        <v>0</v>
      </c>
      <c r="J127" s="19">
        <f t="shared" si="34"/>
        <v>0</v>
      </c>
      <c r="K127" s="19">
        <f t="shared" si="34"/>
        <v>0</v>
      </c>
      <c r="L127" s="19">
        <f t="shared" si="34"/>
        <v>0</v>
      </c>
      <c r="M127" s="19">
        <f t="shared" si="34"/>
        <v>0</v>
      </c>
      <c r="N127" s="19">
        <f t="shared" si="34"/>
        <v>0</v>
      </c>
      <c r="O127" s="19">
        <f t="shared" si="34"/>
        <v>0</v>
      </c>
      <c r="P127" s="19">
        <f t="shared" si="34"/>
        <v>0</v>
      </c>
      <c r="Q127" s="19">
        <f t="shared" si="34"/>
        <v>0</v>
      </c>
      <c r="R127" s="19">
        <f t="shared" si="34"/>
        <v>0</v>
      </c>
      <c r="S127" s="19">
        <f t="shared" si="34"/>
        <v>0</v>
      </c>
      <c r="T127" s="19">
        <f t="shared" si="34"/>
        <v>0</v>
      </c>
      <c r="U127" s="19">
        <f t="shared" si="34"/>
        <v>0</v>
      </c>
      <c r="V127" s="19">
        <f t="shared" si="34"/>
        <v>0</v>
      </c>
      <c r="W127" s="19">
        <f t="shared" si="34"/>
        <v>326244.88</v>
      </c>
      <c r="X127" s="306">
        <f>C127-W127</f>
        <v>0</v>
      </c>
      <c r="Y127" s="304"/>
      <c r="Z127" s="304"/>
      <c r="AA127" s="91"/>
      <c r="AB127" s="90"/>
      <c r="AC127" s="11"/>
      <c r="AD127" s="11"/>
      <c r="AE127" s="10"/>
    </row>
    <row r="128" spans="1:31" ht="12.75" customHeight="1">
      <c r="A128" s="307" t="s">
        <v>271</v>
      </c>
      <c r="B128" s="307"/>
      <c r="C128" s="17">
        <f>C127</f>
        <v>326244.88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17">
        <f>W127</f>
        <v>326244.88</v>
      </c>
      <c r="X128" s="301"/>
      <c r="Y128" s="292"/>
      <c r="Z128" s="292"/>
      <c r="AA128" s="91"/>
      <c r="AB128" s="90"/>
      <c r="AC128" s="11"/>
      <c r="AD128" s="11"/>
      <c r="AE128" s="10"/>
    </row>
    <row r="129" spans="1:28" ht="12.75" customHeight="1">
      <c r="A129" s="335" t="s">
        <v>76</v>
      </c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7"/>
      <c r="Y129" s="298"/>
      <c r="Z129" s="298"/>
      <c r="AA129" s="91"/>
      <c r="AB129" s="90"/>
    </row>
    <row r="130" spans="1:28" ht="12.75" customHeight="1">
      <c r="A130" s="341" t="s">
        <v>77</v>
      </c>
      <c r="B130" s="342"/>
      <c r="C130" s="345"/>
      <c r="D130" s="347"/>
      <c r="E130" s="348"/>
      <c r="F130" s="348"/>
      <c r="G130" s="348"/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9"/>
      <c r="Y130" s="292"/>
      <c r="Z130" s="292"/>
      <c r="AA130" s="91"/>
      <c r="AB130" s="90"/>
    </row>
    <row r="131" spans="1:28" ht="12.75" customHeight="1">
      <c r="A131" s="92">
        <f>A126+1</f>
        <v>73</v>
      </c>
      <c r="B131" s="55" t="s">
        <v>266</v>
      </c>
      <c r="C131" s="18">
        <f aca="true" t="shared" si="35" ref="C131:C136">D131+K131+M131+O131+Q131+S131+U131+V131+W131+X131</f>
        <v>1103732.26</v>
      </c>
      <c r="D131" s="17">
        <f aca="true" t="shared" si="36" ref="D131:D136">E131+F131+G131+H131+I131</f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241"/>
      <c r="U131" s="242"/>
      <c r="V131" s="18"/>
      <c r="W131" s="18">
        <f aca="true" t="shared" si="37" ref="W131:W136">Y131</f>
        <v>1103732.26</v>
      </c>
      <c r="X131" s="306"/>
      <c r="Y131" s="216">
        <v>1103732.26</v>
      </c>
      <c r="Z131" s="306" t="s">
        <v>97</v>
      </c>
      <c r="AA131" s="91"/>
      <c r="AB131" s="90"/>
    </row>
    <row r="132" spans="1:28" ht="12.75" customHeight="1">
      <c r="A132" s="92">
        <f>A131+1</f>
        <v>74</v>
      </c>
      <c r="B132" s="55" t="s">
        <v>263</v>
      </c>
      <c r="C132" s="18">
        <f t="shared" si="35"/>
        <v>914799.86</v>
      </c>
      <c r="D132" s="17">
        <f t="shared" si="36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41"/>
      <c r="U132" s="242"/>
      <c r="V132" s="18"/>
      <c r="W132" s="18">
        <f t="shared" si="37"/>
        <v>914799.86</v>
      </c>
      <c r="X132" s="306"/>
      <c r="Y132" s="216">
        <v>914799.86</v>
      </c>
      <c r="Z132" s="306" t="s">
        <v>97</v>
      </c>
      <c r="AA132" s="91"/>
      <c r="AB132" s="90"/>
    </row>
    <row r="133" spans="1:28" ht="12.75" customHeight="1">
      <c r="A133" s="92">
        <f>A132+1</f>
        <v>75</v>
      </c>
      <c r="B133" s="55" t="s">
        <v>264</v>
      </c>
      <c r="C133" s="18">
        <f t="shared" si="35"/>
        <v>628233.25</v>
      </c>
      <c r="D133" s="17">
        <f t="shared" si="36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241"/>
      <c r="Q133" s="241"/>
      <c r="R133" s="18"/>
      <c r="S133" s="18"/>
      <c r="T133" s="241"/>
      <c r="U133" s="242"/>
      <c r="V133" s="18"/>
      <c r="W133" s="18">
        <f t="shared" si="37"/>
        <v>628233.25</v>
      </c>
      <c r="X133" s="306"/>
      <c r="Y133" s="216">
        <v>628233.25</v>
      </c>
      <c r="Z133" s="306" t="s">
        <v>97</v>
      </c>
      <c r="AA133" s="91"/>
      <c r="AB133" s="90"/>
    </row>
    <row r="134" spans="1:28" ht="12.75" customHeight="1">
      <c r="A134" s="92">
        <f>A133+1</f>
        <v>76</v>
      </c>
      <c r="B134" s="55" t="s">
        <v>265</v>
      </c>
      <c r="C134" s="18">
        <f t="shared" si="35"/>
        <v>827817.81</v>
      </c>
      <c r="D134" s="17">
        <f t="shared" si="36"/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241"/>
      <c r="Q134" s="241"/>
      <c r="R134" s="18"/>
      <c r="S134" s="18"/>
      <c r="T134" s="241"/>
      <c r="U134" s="242"/>
      <c r="V134" s="18"/>
      <c r="W134" s="18">
        <f t="shared" si="37"/>
        <v>827817.81</v>
      </c>
      <c r="X134" s="306"/>
      <c r="Y134" s="216">
        <v>827817.81</v>
      </c>
      <c r="Z134" s="306" t="s">
        <v>97</v>
      </c>
      <c r="AA134" s="91"/>
      <c r="AB134" s="90"/>
    </row>
    <row r="135" spans="1:28" ht="12.75" customHeight="1">
      <c r="A135" s="92">
        <f>A134+1</f>
        <v>77</v>
      </c>
      <c r="B135" s="57" t="s">
        <v>267</v>
      </c>
      <c r="C135" s="18">
        <f t="shared" si="35"/>
        <v>797030.73</v>
      </c>
      <c r="D135" s="17">
        <f t="shared" si="36"/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241"/>
      <c r="U135" s="242"/>
      <c r="V135" s="18"/>
      <c r="W135" s="18">
        <f t="shared" si="37"/>
        <v>797030.73</v>
      </c>
      <c r="X135" s="306"/>
      <c r="Y135" s="216">
        <v>797030.73</v>
      </c>
      <c r="Z135" s="306" t="s">
        <v>97</v>
      </c>
      <c r="AA135" s="91"/>
      <c r="AB135" s="90"/>
    </row>
    <row r="136" spans="1:28" ht="12.75" customHeight="1">
      <c r="A136" s="92">
        <f>A135+1</f>
        <v>78</v>
      </c>
      <c r="B136" s="57" t="s">
        <v>268</v>
      </c>
      <c r="C136" s="18">
        <f t="shared" si="35"/>
        <v>697504.22</v>
      </c>
      <c r="D136" s="17">
        <f t="shared" si="36"/>
        <v>0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241"/>
      <c r="U136" s="242"/>
      <c r="V136" s="18"/>
      <c r="W136" s="18">
        <f t="shared" si="37"/>
        <v>697504.22</v>
      </c>
      <c r="X136" s="306"/>
      <c r="Y136" s="216">
        <v>697504.22</v>
      </c>
      <c r="Z136" s="306" t="s">
        <v>97</v>
      </c>
      <c r="AA136" s="91"/>
      <c r="AB136" s="90"/>
    </row>
    <row r="137" spans="1:30" ht="12.75" customHeight="1">
      <c r="A137" s="310" t="s">
        <v>64</v>
      </c>
      <c r="B137" s="311"/>
      <c r="C137" s="19">
        <f aca="true" t="shared" si="38" ref="C137:X137">SUM(C131:C136)</f>
        <v>4969118.13</v>
      </c>
      <c r="D137" s="19">
        <f t="shared" si="38"/>
        <v>0</v>
      </c>
      <c r="E137" s="19">
        <f t="shared" si="38"/>
        <v>0</v>
      </c>
      <c r="F137" s="19">
        <f t="shared" si="38"/>
        <v>0</v>
      </c>
      <c r="G137" s="19">
        <f t="shared" si="38"/>
        <v>0</v>
      </c>
      <c r="H137" s="19">
        <f t="shared" si="38"/>
        <v>0</v>
      </c>
      <c r="I137" s="19">
        <f t="shared" si="38"/>
        <v>0</v>
      </c>
      <c r="J137" s="19">
        <f t="shared" si="38"/>
        <v>0</v>
      </c>
      <c r="K137" s="19">
        <f t="shared" si="38"/>
        <v>0</v>
      </c>
      <c r="L137" s="19">
        <f t="shared" si="38"/>
        <v>0</v>
      </c>
      <c r="M137" s="19">
        <f t="shared" si="38"/>
        <v>0</v>
      </c>
      <c r="N137" s="19">
        <f t="shared" si="38"/>
        <v>0</v>
      </c>
      <c r="O137" s="19">
        <f t="shared" si="38"/>
        <v>0</v>
      </c>
      <c r="P137" s="19">
        <f t="shared" si="38"/>
        <v>0</v>
      </c>
      <c r="Q137" s="19">
        <f t="shared" si="38"/>
        <v>0</v>
      </c>
      <c r="R137" s="19">
        <f t="shared" si="38"/>
        <v>0</v>
      </c>
      <c r="S137" s="19">
        <f t="shared" si="38"/>
        <v>0</v>
      </c>
      <c r="T137" s="19">
        <f t="shared" si="38"/>
        <v>0</v>
      </c>
      <c r="U137" s="19">
        <f t="shared" si="38"/>
        <v>0</v>
      </c>
      <c r="V137" s="19">
        <f t="shared" si="38"/>
        <v>0</v>
      </c>
      <c r="W137" s="19">
        <f t="shared" si="38"/>
        <v>4969118.13</v>
      </c>
      <c r="X137" s="304">
        <f t="shared" si="38"/>
        <v>0</v>
      </c>
      <c r="Y137" s="304"/>
      <c r="Z137" s="304"/>
      <c r="AA137" s="91">
        <f>E137+F137+G137+H137+I137+K137+M137+O137+Q137+S137+U137+W137+V137+X137</f>
        <v>4969118.13</v>
      </c>
      <c r="AB137" s="90">
        <f>AA137-C137</f>
        <v>0</v>
      </c>
      <c r="AC137" s="90"/>
      <c r="AD137" s="90"/>
    </row>
    <row r="138" spans="1:31" ht="12.75" customHeight="1">
      <c r="A138" s="307" t="s">
        <v>78</v>
      </c>
      <c r="B138" s="307"/>
      <c r="C138" s="225">
        <f>C137</f>
        <v>4969118.13</v>
      </c>
      <c r="D138" s="225">
        <f aca="true" t="shared" si="39" ref="D138:W138">D137</f>
        <v>0</v>
      </c>
      <c r="E138" s="225">
        <f t="shared" si="39"/>
        <v>0</v>
      </c>
      <c r="F138" s="225">
        <f t="shared" si="39"/>
        <v>0</v>
      </c>
      <c r="G138" s="225">
        <f t="shared" si="39"/>
        <v>0</v>
      </c>
      <c r="H138" s="225">
        <f t="shared" si="39"/>
        <v>0</v>
      </c>
      <c r="I138" s="225">
        <f t="shared" si="39"/>
        <v>0</v>
      </c>
      <c r="J138" s="225">
        <f t="shared" si="39"/>
        <v>0</v>
      </c>
      <c r="K138" s="225">
        <f t="shared" si="39"/>
        <v>0</v>
      </c>
      <c r="L138" s="225">
        <f t="shared" si="39"/>
        <v>0</v>
      </c>
      <c r="M138" s="225">
        <f t="shared" si="39"/>
        <v>0</v>
      </c>
      <c r="N138" s="225">
        <f t="shared" si="39"/>
        <v>0</v>
      </c>
      <c r="O138" s="225">
        <f t="shared" si="39"/>
        <v>0</v>
      </c>
      <c r="P138" s="225">
        <f t="shared" si="39"/>
        <v>0</v>
      </c>
      <c r="Q138" s="225">
        <f t="shared" si="39"/>
        <v>0</v>
      </c>
      <c r="R138" s="225">
        <f t="shared" si="39"/>
        <v>0</v>
      </c>
      <c r="S138" s="225">
        <f t="shared" si="39"/>
        <v>0</v>
      </c>
      <c r="T138" s="225">
        <f t="shared" si="39"/>
        <v>0</v>
      </c>
      <c r="U138" s="225">
        <f t="shared" si="39"/>
        <v>0</v>
      </c>
      <c r="V138" s="225">
        <f t="shared" si="39"/>
        <v>0</v>
      </c>
      <c r="W138" s="225">
        <f t="shared" si="39"/>
        <v>4969118.13</v>
      </c>
      <c r="X138" s="306">
        <f>C138-W138</f>
        <v>0</v>
      </c>
      <c r="Y138" s="298"/>
      <c r="Z138" s="298"/>
      <c r="AA138" s="91"/>
      <c r="AB138" s="90"/>
      <c r="AC138" s="12"/>
      <c r="AD138" s="12"/>
      <c r="AE138" s="10"/>
    </row>
    <row r="139" spans="1:31" ht="12.75" customHeight="1">
      <c r="A139" s="335" t="s">
        <v>222</v>
      </c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7"/>
      <c r="Y139" s="298"/>
      <c r="Z139" s="298"/>
      <c r="AA139" s="91"/>
      <c r="AB139" s="90"/>
      <c r="AC139" s="12"/>
      <c r="AD139" s="12"/>
      <c r="AE139" s="10"/>
    </row>
    <row r="140" spans="1:31" ht="12.75" customHeight="1">
      <c r="A140" s="341" t="s">
        <v>272</v>
      </c>
      <c r="B140" s="342"/>
      <c r="C140" s="345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99"/>
      <c r="Y140" s="298"/>
      <c r="Z140" s="298"/>
      <c r="AA140" s="91"/>
      <c r="AB140" s="90"/>
      <c r="AC140" s="12"/>
      <c r="AD140" s="12"/>
      <c r="AE140" s="10"/>
    </row>
    <row r="141" spans="1:31" ht="12.75" customHeight="1">
      <c r="A141" s="92">
        <f>A136+1</f>
        <v>79</v>
      </c>
      <c r="B141" s="100" t="s">
        <v>226</v>
      </c>
      <c r="C141" s="18">
        <f aca="true" t="shared" si="40" ref="C141:C146">D141+K141+M141+O141+Q141+S141+U141+V141+W141+X141</f>
        <v>99554.87</v>
      </c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18">
        <f>99554.87</f>
        <v>99554.87</v>
      </c>
      <c r="X141" s="182"/>
      <c r="Y141" s="298"/>
      <c r="Z141" s="306" t="s">
        <v>314</v>
      </c>
      <c r="AA141" s="91"/>
      <c r="AB141" s="90"/>
      <c r="AC141" s="12"/>
      <c r="AD141" s="12"/>
      <c r="AE141" s="10"/>
    </row>
    <row r="142" spans="1:31" ht="12.75" customHeight="1">
      <c r="A142" s="92">
        <f>A141+1</f>
        <v>80</v>
      </c>
      <c r="B142" s="100" t="s">
        <v>227</v>
      </c>
      <c r="C142" s="18">
        <f t="shared" si="40"/>
        <v>109363</v>
      </c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18">
        <v>109363</v>
      </c>
      <c r="X142" s="182"/>
      <c r="Y142" s="298"/>
      <c r="Z142" s="306" t="s">
        <v>314</v>
      </c>
      <c r="AA142" s="91"/>
      <c r="AB142" s="90"/>
      <c r="AC142" s="12"/>
      <c r="AD142" s="12"/>
      <c r="AE142" s="10"/>
    </row>
    <row r="143" spans="1:31" ht="12.75" customHeight="1">
      <c r="A143" s="92">
        <f>A142+1</f>
        <v>81</v>
      </c>
      <c r="B143" s="100" t="s">
        <v>228</v>
      </c>
      <c r="C143" s="18">
        <f t="shared" si="40"/>
        <v>108006.9</v>
      </c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18">
        <v>108006.9</v>
      </c>
      <c r="X143" s="182"/>
      <c r="Y143" s="298"/>
      <c r="Z143" s="306" t="s">
        <v>314</v>
      </c>
      <c r="AA143" s="91"/>
      <c r="AB143" s="90"/>
      <c r="AC143" s="12"/>
      <c r="AD143" s="12"/>
      <c r="AE143" s="10"/>
    </row>
    <row r="144" spans="1:31" ht="12.75" customHeight="1">
      <c r="A144" s="92">
        <f>A143+1</f>
        <v>82</v>
      </c>
      <c r="B144" s="100" t="s">
        <v>229</v>
      </c>
      <c r="C144" s="18">
        <f t="shared" si="40"/>
        <v>100406.37</v>
      </c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18">
        <v>100406.37</v>
      </c>
      <c r="X144" s="182"/>
      <c r="Y144" s="298"/>
      <c r="Z144" s="306" t="s">
        <v>314</v>
      </c>
      <c r="AA144" s="91"/>
      <c r="AB144" s="90"/>
      <c r="AC144" s="12"/>
      <c r="AD144" s="12"/>
      <c r="AE144" s="10"/>
    </row>
    <row r="145" spans="1:31" ht="12.75" customHeight="1">
      <c r="A145" s="92">
        <f>A144+1</f>
        <v>83</v>
      </c>
      <c r="B145" s="100" t="s">
        <v>230</v>
      </c>
      <c r="C145" s="18">
        <f t="shared" si="40"/>
        <v>101510.17</v>
      </c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18">
        <v>101510.17</v>
      </c>
      <c r="X145" s="182"/>
      <c r="Y145" s="298"/>
      <c r="Z145" s="306" t="s">
        <v>314</v>
      </c>
      <c r="AA145" s="91"/>
      <c r="AB145" s="90"/>
      <c r="AC145" s="12"/>
      <c r="AD145" s="12"/>
      <c r="AE145" s="10"/>
    </row>
    <row r="146" spans="1:31" ht="12.75" customHeight="1">
      <c r="A146" s="92">
        <f>A145+1</f>
        <v>84</v>
      </c>
      <c r="B146" s="100" t="s">
        <v>231</v>
      </c>
      <c r="C146" s="18">
        <f t="shared" si="40"/>
        <v>97820.31</v>
      </c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18">
        <v>97820.31</v>
      </c>
      <c r="X146" s="182"/>
      <c r="Y146" s="298"/>
      <c r="Z146" s="306" t="s">
        <v>314</v>
      </c>
      <c r="AA146" s="91"/>
      <c r="AB146" s="90"/>
      <c r="AC146" s="12"/>
      <c r="AD146" s="12"/>
      <c r="AE146" s="10"/>
    </row>
    <row r="147" spans="1:31" ht="12.75" customHeight="1">
      <c r="A147" s="310" t="s">
        <v>64</v>
      </c>
      <c r="B147" s="311"/>
      <c r="C147" s="19">
        <f>SUM(C141:C146)</f>
        <v>616661.62</v>
      </c>
      <c r="D147" s="19">
        <f aca="true" t="shared" si="41" ref="D147:W147">SUM(D141:D146)</f>
        <v>0</v>
      </c>
      <c r="E147" s="19">
        <f t="shared" si="41"/>
        <v>0</v>
      </c>
      <c r="F147" s="19">
        <f t="shared" si="41"/>
        <v>0</v>
      </c>
      <c r="G147" s="19">
        <f t="shared" si="41"/>
        <v>0</v>
      </c>
      <c r="H147" s="19">
        <f t="shared" si="41"/>
        <v>0</v>
      </c>
      <c r="I147" s="19">
        <f t="shared" si="41"/>
        <v>0</v>
      </c>
      <c r="J147" s="19">
        <f t="shared" si="41"/>
        <v>0</v>
      </c>
      <c r="K147" s="19">
        <f t="shared" si="41"/>
        <v>0</v>
      </c>
      <c r="L147" s="19">
        <f t="shared" si="41"/>
        <v>0</v>
      </c>
      <c r="M147" s="19">
        <f t="shared" si="41"/>
        <v>0</v>
      </c>
      <c r="N147" s="19">
        <f t="shared" si="41"/>
        <v>0</v>
      </c>
      <c r="O147" s="19">
        <f t="shared" si="41"/>
        <v>0</v>
      </c>
      <c r="P147" s="19">
        <f t="shared" si="41"/>
        <v>0</v>
      </c>
      <c r="Q147" s="19">
        <f t="shared" si="41"/>
        <v>0</v>
      </c>
      <c r="R147" s="19">
        <f t="shared" si="41"/>
        <v>0</v>
      </c>
      <c r="S147" s="19">
        <f t="shared" si="41"/>
        <v>0</v>
      </c>
      <c r="T147" s="19">
        <f t="shared" si="41"/>
        <v>0</v>
      </c>
      <c r="U147" s="19">
        <f t="shared" si="41"/>
        <v>0</v>
      </c>
      <c r="V147" s="19">
        <f t="shared" si="41"/>
        <v>0</v>
      </c>
      <c r="W147" s="19">
        <f t="shared" si="41"/>
        <v>616661.62</v>
      </c>
      <c r="X147" s="304">
        <f>SUM(Z141:Z146)</f>
        <v>0</v>
      </c>
      <c r="Y147" s="304"/>
      <c r="Z147" s="304"/>
      <c r="AA147" s="91"/>
      <c r="AB147" s="90"/>
      <c r="AC147" s="12"/>
      <c r="AD147" s="12"/>
      <c r="AE147" s="10"/>
    </row>
    <row r="148" spans="1:31" ht="12.75" customHeight="1">
      <c r="A148" s="341" t="s">
        <v>273</v>
      </c>
      <c r="B148" s="342"/>
      <c r="C148" s="34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98"/>
      <c r="Y148" s="298"/>
      <c r="Z148" s="298"/>
      <c r="AA148" s="91"/>
      <c r="AB148" s="90"/>
      <c r="AC148" s="12"/>
      <c r="AD148" s="12"/>
      <c r="AE148" s="10"/>
    </row>
    <row r="149" spans="1:31" ht="12.75" customHeight="1">
      <c r="A149" s="92">
        <f>A146+1</f>
        <v>85</v>
      </c>
      <c r="B149" s="212" t="s">
        <v>223</v>
      </c>
      <c r="C149" s="18">
        <f>D149+K149+M149+O149+Q149+S149+U149+V149+W149+X149</f>
        <v>922949.93</v>
      </c>
      <c r="D149" s="17">
        <f>E149+F149+G149+H149+I149</f>
        <v>0</v>
      </c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18"/>
      <c r="U149" s="18"/>
      <c r="V149" s="225"/>
      <c r="W149" s="19">
        <v>922949.93</v>
      </c>
      <c r="X149" s="298"/>
      <c r="Y149" s="298"/>
      <c r="Z149" s="298" t="s">
        <v>97</v>
      </c>
      <c r="AA149" s="91"/>
      <c r="AB149" s="90"/>
      <c r="AC149" s="12"/>
      <c r="AD149" s="12"/>
      <c r="AE149" s="10"/>
    </row>
    <row r="150" spans="1:31" ht="12.75" customHeight="1">
      <c r="A150" s="310" t="s">
        <v>64</v>
      </c>
      <c r="B150" s="311"/>
      <c r="C150" s="225">
        <f>SUM(C149)</f>
        <v>922949.93</v>
      </c>
      <c r="D150" s="225">
        <f aca="true" t="shared" si="42" ref="D150:W150">SUM(D149)</f>
        <v>0</v>
      </c>
      <c r="E150" s="225">
        <f t="shared" si="42"/>
        <v>0</v>
      </c>
      <c r="F150" s="225">
        <f t="shared" si="42"/>
        <v>0</v>
      </c>
      <c r="G150" s="225">
        <f t="shared" si="42"/>
        <v>0</v>
      </c>
      <c r="H150" s="225">
        <f t="shared" si="42"/>
        <v>0</v>
      </c>
      <c r="I150" s="225">
        <f t="shared" si="42"/>
        <v>0</v>
      </c>
      <c r="J150" s="225">
        <f t="shared" si="42"/>
        <v>0</v>
      </c>
      <c r="K150" s="225">
        <f t="shared" si="42"/>
        <v>0</v>
      </c>
      <c r="L150" s="225">
        <f t="shared" si="42"/>
        <v>0</v>
      </c>
      <c r="M150" s="225">
        <f t="shared" si="42"/>
        <v>0</v>
      </c>
      <c r="N150" s="225">
        <f t="shared" si="42"/>
        <v>0</v>
      </c>
      <c r="O150" s="225">
        <f t="shared" si="42"/>
        <v>0</v>
      </c>
      <c r="P150" s="225">
        <f t="shared" si="42"/>
        <v>0</v>
      </c>
      <c r="Q150" s="225">
        <f t="shared" si="42"/>
        <v>0</v>
      </c>
      <c r="R150" s="225">
        <f t="shared" si="42"/>
        <v>0</v>
      </c>
      <c r="S150" s="225">
        <f t="shared" si="42"/>
        <v>0</v>
      </c>
      <c r="T150" s="225">
        <f t="shared" si="42"/>
        <v>0</v>
      </c>
      <c r="U150" s="225">
        <f t="shared" si="42"/>
        <v>0</v>
      </c>
      <c r="V150" s="225">
        <f t="shared" si="42"/>
        <v>0</v>
      </c>
      <c r="W150" s="225">
        <f t="shared" si="42"/>
        <v>922949.93</v>
      </c>
      <c r="X150" s="306">
        <f>C150-W150</f>
        <v>0</v>
      </c>
      <c r="Y150" s="298"/>
      <c r="Z150" s="298"/>
      <c r="AA150" s="91"/>
      <c r="AB150" s="90"/>
      <c r="AC150" s="12"/>
      <c r="AD150" s="12"/>
      <c r="AE150" s="10"/>
    </row>
    <row r="151" spans="1:31" ht="12.75" customHeight="1">
      <c r="A151" s="307" t="s">
        <v>224</v>
      </c>
      <c r="B151" s="307"/>
      <c r="C151" s="225">
        <f>C147+C150</f>
        <v>1539611.55</v>
      </c>
      <c r="D151" s="225">
        <f aca="true" t="shared" si="43" ref="D151:W151">D147+D150</f>
        <v>0</v>
      </c>
      <c r="E151" s="225">
        <f t="shared" si="43"/>
        <v>0</v>
      </c>
      <c r="F151" s="225">
        <f t="shared" si="43"/>
        <v>0</v>
      </c>
      <c r="G151" s="225">
        <f t="shared" si="43"/>
        <v>0</v>
      </c>
      <c r="H151" s="225">
        <f t="shared" si="43"/>
        <v>0</v>
      </c>
      <c r="I151" s="225">
        <f t="shared" si="43"/>
        <v>0</v>
      </c>
      <c r="J151" s="225">
        <f t="shared" si="43"/>
        <v>0</v>
      </c>
      <c r="K151" s="225">
        <f t="shared" si="43"/>
        <v>0</v>
      </c>
      <c r="L151" s="225">
        <f t="shared" si="43"/>
        <v>0</v>
      </c>
      <c r="M151" s="225">
        <f t="shared" si="43"/>
        <v>0</v>
      </c>
      <c r="N151" s="225">
        <f t="shared" si="43"/>
        <v>0</v>
      </c>
      <c r="O151" s="225">
        <f t="shared" si="43"/>
        <v>0</v>
      </c>
      <c r="P151" s="225">
        <f t="shared" si="43"/>
        <v>0</v>
      </c>
      <c r="Q151" s="225">
        <f t="shared" si="43"/>
        <v>0</v>
      </c>
      <c r="R151" s="225">
        <f t="shared" si="43"/>
        <v>0</v>
      </c>
      <c r="S151" s="225">
        <f t="shared" si="43"/>
        <v>0</v>
      </c>
      <c r="T151" s="225">
        <f t="shared" si="43"/>
        <v>0</v>
      </c>
      <c r="U151" s="225">
        <f t="shared" si="43"/>
        <v>0</v>
      </c>
      <c r="V151" s="225">
        <f t="shared" si="43"/>
        <v>0</v>
      </c>
      <c r="W151" s="225">
        <f t="shared" si="43"/>
        <v>1539611.55</v>
      </c>
      <c r="X151" s="306">
        <f>C151-W151</f>
        <v>0</v>
      </c>
      <c r="Y151" s="298"/>
      <c r="Z151" s="298"/>
      <c r="AA151" s="91"/>
      <c r="AB151" s="90"/>
      <c r="AC151" s="12"/>
      <c r="AD151" s="12"/>
      <c r="AE151" s="10"/>
    </row>
    <row r="152" spans="1:28" ht="12.75" customHeight="1">
      <c r="A152" s="334" t="s">
        <v>79</v>
      </c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298"/>
      <c r="Z152" s="298"/>
      <c r="AA152" s="91"/>
      <c r="AB152" s="90"/>
    </row>
    <row r="153" spans="1:28" ht="12.75" customHeight="1">
      <c r="A153" s="350" t="s">
        <v>80</v>
      </c>
      <c r="B153" s="350"/>
      <c r="C153" s="350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292"/>
      <c r="Z153" s="292"/>
      <c r="AA153" s="91"/>
      <c r="AB153" s="90"/>
    </row>
    <row r="154" spans="1:28" ht="26.25" customHeight="1">
      <c r="A154" s="92">
        <f>A149+1</f>
        <v>86</v>
      </c>
      <c r="B154" s="67" t="s">
        <v>101</v>
      </c>
      <c r="C154" s="18">
        <f>D154+K154+M154+O154+Q154+S154+U154+V154+W154+X154</f>
        <v>996373.06</v>
      </c>
      <c r="D154" s="19">
        <f>E154+F154+G154+H154+I154</f>
        <v>0</v>
      </c>
      <c r="E154" s="17"/>
      <c r="F154" s="17"/>
      <c r="G154" s="17"/>
      <c r="H154" s="17"/>
      <c r="I154" s="17"/>
      <c r="J154" s="17"/>
      <c r="K154" s="17"/>
      <c r="L154" s="18"/>
      <c r="M154" s="18"/>
      <c r="N154" s="18"/>
      <c r="O154" s="18"/>
      <c r="P154" s="17"/>
      <c r="Q154" s="17"/>
      <c r="R154" s="17"/>
      <c r="S154" s="17"/>
      <c r="T154" s="18"/>
      <c r="U154" s="18"/>
      <c r="V154" s="17"/>
      <c r="W154" s="18">
        <v>996373.06</v>
      </c>
      <c r="X154" s="292"/>
      <c r="Y154" s="306">
        <f>165+396.2+441661.69+1480169.29+72041.74+187053.75</f>
        <v>2181487.67</v>
      </c>
      <c r="Z154" s="304" t="s">
        <v>292</v>
      </c>
      <c r="AA154" s="91"/>
      <c r="AB154" s="90"/>
    </row>
    <row r="155" spans="1:28" ht="19.5" customHeight="1">
      <c r="A155" s="92">
        <f>A154+1</f>
        <v>87</v>
      </c>
      <c r="B155" s="67" t="s">
        <v>102</v>
      </c>
      <c r="C155" s="18">
        <f>D155+K155+M155+O155+Q155+S155+U155+V155+W155+X155</f>
        <v>996373.06</v>
      </c>
      <c r="D155" s="19">
        <f>E155+F155+G155+H155+I155</f>
        <v>0</v>
      </c>
      <c r="E155" s="17"/>
      <c r="F155" s="17"/>
      <c r="G155" s="17"/>
      <c r="H155" s="17"/>
      <c r="I155" s="17"/>
      <c r="J155" s="17"/>
      <c r="K155" s="17"/>
      <c r="L155" s="18"/>
      <c r="M155" s="18"/>
      <c r="N155" s="18"/>
      <c r="O155" s="18"/>
      <c r="P155" s="17"/>
      <c r="Q155" s="17"/>
      <c r="R155" s="17"/>
      <c r="S155" s="17"/>
      <c r="T155" s="18"/>
      <c r="U155" s="18"/>
      <c r="V155" s="17"/>
      <c r="W155" s="18">
        <v>996373.06</v>
      </c>
      <c r="X155" s="292"/>
      <c r="Y155" s="306">
        <f>165+396.2+441661.69+1480169.29+72041.74+187053.75</f>
        <v>2181487.67</v>
      </c>
      <c r="Z155" s="304" t="s">
        <v>292</v>
      </c>
      <c r="AA155" s="91"/>
      <c r="AB155" s="90"/>
    </row>
    <row r="156" spans="1:28" ht="26.25" customHeight="1">
      <c r="A156" s="92">
        <f>A155+1</f>
        <v>88</v>
      </c>
      <c r="B156" s="67" t="s">
        <v>103</v>
      </c>
      <c r="C156" s="18">
        <f>D156+K156+M156+O156+Q156+S156+U156+V156+W156+X156</f>
        <v>996373.06</v>
      </c>
      <c r="D156" s="19">
        <f>E156+F156+G156+H156+I156</f>
        <v>0</v>
      </c>
      <c r="E156" s="17"/>
      <c r="F156" s="17"/>
      <c r="G156" s="17"/>
      <c r="H156" s="17"/>
      <c r="I156" s="17"/>
      <c r="J156" s="17"/>
      <c r="K156" s="17"/>
      <c r="L156" s="18"/>
      <c r="M156" s="18"/>
      <c r="N156" s="18"/>
      <c r="O156" s="18"/>
      <c r="P156" s="17"/>
      <c r="Q156" s="17"/>
      <c r="R156" s="17"/>
      <c r="S156" s="17"/>
      <c r="T156" s="18"/>
      <c r="U156" s="18"/>
      <c r="V156" s="17"/>
      <c r="W156" s="18">
        <v>996373.06</v>
      </c>
      <c r="X156" s="292"/>
      <c r="Y156" s="306">
        <f>165+396.2+441661.69+1480169.29+72041.74+187053.75</f>
        <v>2181487.67</v>
      </c>
      <c r="Z156" s="304" t="s">
        <v>292</v>
      </c>
      <c r="AA156" s="91"/>
      <c r="AB156" s="90"/>
    </row>
    <row r="157" spans="1:28" ht="17.25" customHeight="1">
      <c r="A157" s="92">
        <f>A156+1</f>
        <v>89</v>
      </c>
      <c r="B157" s="43" t="s">
        <v>104</v>
      </c>
      <c r="C157" s="18">
        <f>D157+K157+M157+O157+Q157+S157+U157+V157+W157+X157</f>
        <v>1517736.64</v>
      </c>
      <c r="D157" s="19">
        <f>E157+F157+G157+H157+I157</f>
        <v>0</v>
      </c>
      <c r="E157" s="17"/>
      <c r="F157" s="17"/>
      <c r="G157" s="17"/>
      <c r="H157" s="17"/>
      <c r="I157" s="17"/>
      <c r="J157" s="17"/>
      <c r="K157" s="17"/>
      <c r="L157" s="18"/>
      <c r="M157" s="18"/>
      <c r="N157" s="18"/>
      <c r="O157" s="18"/>
      <c r="P157" s="18"/>
      <c r="Q157" s="18"/>
      <c r="R157" s="17"/>
      <c r="S157" s="17"/>
      <c r="T157" s="17"/>
      <c r="U157" s="17"/>
      <c r="V157" s="17"/>
      <c r="W157" s="18">
        <v>1517736.64</v>
      </c>
      <c r="X157" s="292"/>
      <c r="Y157" s="306">
        <f>229458.62+81413.72+261885.16+730070.71+622946.25</f>
        <v>1925774.46</v>
      </c>
      <c r="Z157" s="304" t="s">
        <v>293</v>
      </c>
      <c r="AA157" s="91"/>
      <c r="AB157" s="90"/>
    </row>
    <row r="158" spans="1:30" ht="12.75" customHeight="1">
      <c r="A158" s="308" t="s">
        <v>64</v>
      </c>
      <c r="B158" s="308"/>
      <c r="C158" s="18">
        <f aca="true" t="shared" si="44" ref="C158:W158">SUM(C154:C157)</f>
        <v>4506855.82</v>
      </c>
      <c r="D158" s="18">
        <f t="shared" si="44"/>
        <v>0</v>
      </c>
      <c r="E158" s="18">
        <f t="shared" si="44"/>
        <v>0</v>
      </c>
      <c r="F158" s="18">
        <f t="shared" si="44"/>
        <v>0</v>
      </c>
      <c r="G158" s="18">
        <f t="shared" si="44"/>
        <v>0</v>
      </c>
      <c r="H158" s="18">
        <f t="shared" si="44"/>
        <v>0</v>
      </c>
      <c r="I158" s="18">
        <f t="shared" si="44"/>
        <v>0</v>
      </c>
      <c r="J158" s="18">
        <f t="shared" si="44"/>
        <v>0</v>
      </c>
      <c r="K158" s="18">
        <f t="shared" si="44"/>
        <v>0</v>
      </c>
      <c r="L158" s="18">
        <f t="shared" si="44"/>
        <v>0</v>
      </c>
      <c r="M158" s="18">
        <f t="shared" si="44"/>
        <v>0</v>
      </c>
      <c r="N158" s="18">
        <f t="shared" si="44"/>
        <v>0</v>
      </c>
      <c r="O158" s="18">
        <f t="shared" si="44"/>
        <v>0</v>
      </c>
      <c r="P158" s="18">
        <f t="shared" si="44"/>
        <v>0</v>
      </c>
      <c r="Q158" s="18">
        <f t="shared" si="44"/>
        <v>0</v>
      </c>
      <c r="R158" s="18">
        <f t="shared" si="44"/>
        <v>0</v>
      </c>
      <c r="S158" s="18">
        <f t="shared" si="44"/>
        <v>0</v>
      </c>
      <c r="T158" s="18">
        <f t="shared" si="44"/>
        <v>0</v>
      </c>
      <c r="U158" s="18">
        <f t="shared" si="44"/>
        <v>0</v>
      </c>
      <c r="V158" s="18">
        <f t="shared" si="44"/>
        <v>0</v>
      </c>
      <c r="W158" s="18">
        <f t="shared" si="44"/>
        <v>4506855.82</v>
      </c>
      <c r="X158" s="306">
        <f>C158-W158</f>
        <v>0</v>
      </c>
      <c r="Y158" s="306"/>
      <c r="Z158" s="306"/>
      <c r="AA158" s="91">
        <f>E158+F158+G158+H158+I158+K158+M158+O158+Q158+S158+U158+W158+V158+X158</f>
        <v>4506855.82</v>
      </c>
      <c r="AB158" s="90">
        <f>AA158-C158</f>
        <v>0</v>
      </c>
      <c r="AC158" s="90"/>
      <c r="AD158" s="90"/>
    </row>
    <row r="159" spans="1:31" s="14" customFormat="1" ht="18" customHeight="1">
      <c r="A159" s="307" t="s">
        <v>92</v>
      </c>
      <c r="B159" s="307"/>
      <c r="C159" s="307"/>
      <c r="D159" s="309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292"/>
      <c r="Z159" s="292"/>
      <c r="AA159" s="91"/>
      <c r="AB159" s="90"/>
      <c r="AE159" s="89"/>
    </row>
    <row r="160" spans="1:31" s="14" customFormat="1" ht="13.5" customHeight="1">
      <c r="A160" s="92">
        <f>A157+1</f>
        <v>90</v>
      </c>
      <c r="B160" s="65" t="s">
        <v>134</v>
      </c>
      <c r="C160" s="244">
        <f>D160+K160+M160+Q160+O160+S160+U160+W160+X160</f>
        <v>2058935.2999999998</v>
      </c>
      <c r="D160" s="19">
        <f>E160+F160+G160+H160+I160</f>
        <v>0</v>
      </c>
      <c r="E160" s="17"/>
      <c r="F160" s="17"/>
      <c r="G160" s="17"/>
      <c r="H160" s="17"/>
      <c r="I160" s="17"/>
      <c r="J160" s="17"/>
      <c r="K160" s="17"/>
      <c r="L160" s="213"/>
      <c r="M160" s="213"/>
      <c r="N160" s="17"/>
      <c r="O160" s="17"/>
      <c r="P160" s="213"/>
      <c r="Q160" s="213"/>
      <c r="R160" s="17"/>
      <c r="S160" s="17"/>
      <c r="T160" s="213"/>
      <c r="U160" s="213"/>
      <c r="V160" s="17"/>
      <c r="W160" s="19">
        <f>Y160</f>
        <v>2058935.2999999998</v>
      </c>
      <c r="X160" s="17"/>
      <c r="Y160" s="304">
        <f>1402231.15+656704.15</f>
        <v>2058935.2999999998</v>
      </c>
      <c r="Z160" s="19" t="s">
        <v>285</v>
      </c>
      <c r="AA160" s="91"/>
      <c r="AB160" s="90"/>
      <c r="AE160" s="89"/>
    </row>
    <row r="161" spans="1:31" s="14" customFormat="1" ht="15.75" customHeight="1">
      <c r="A161" s="179">
        <f>A160+1</f>
        <v>91</v>
      </c>
      <c r="B161" s="65" t="s">
        <v>135</v>
      </c>
      <c r="C161" s="244">
        <f>D161+K161+M161+Q161+O161+S161+U161+W161+X161</f>
        <v>643213.16</v>
      </c>
      <c r="D161" s="19">
        <f>E161+F161+G161+H161+I161</f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213"/>
      <c r="Q161" s="213"/>
      <c r="R161" s="18"/>
      <c r="S161" s="18"/>
      <c r="T161" s="213"/>
      <c r="U161" s="213"/>
      <c r="V161" s="18"/>
      <c r="W161" s="18">
        <f>Y161</f>
        <v>643213.16</v>
      </c>
      <c r="X161" s="18"/>
      <c r="Y161" s="66">
        <v>643213.16</v>
      </c>
      <c r="Z161" s="306" t="s">
        <v>97</v>
      </c>
      <c r="AA161" s="91"/>
      <c r="AB161" s="90"/>
      <c r="AC161" s="90"/>
      <c r="AD161" s="90"/>
      <c r="AE161" s="89"/>
    </row>
    <row r="162" spans="1:31" s="14" customFormat="1" ht="15.75" customHeight="1">
      <c r="A162" s="179">
        <f>A161+1</f>
        <v>92</v>
      </c>
      <c r="B162" s="65" t="s">
        <v>136</v>
      </c>
      <c r="C162" s="244">
        <f>D162+K162+M162+Q162+O162+S162+U162+W162+X162</f>
        <v>643277.37</v>
      </c>
      <c r="D162" s="19">
        <f>E162+F162+G162+H162+I162</f>
        <v>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213"/>
      <c r="Q162" s="213"/>
      <c r="R162" s="18"/>
      <c r="S162" s="18"/>
      <c r="T162" s="213"/>
      <c r="U162" s="213"/>
      <c r="V162" s="18"/>
      <c r="W162" s="18">
        <f>Y162</f>
        <v>643277.37</v>
      </c>
      <c r="X162" s="18"/>
      <c r="Y162" s="66">
        <v>643277.37</v>
      </c>
      <c r="Z162" s="306" t="s">
        <v>97</v>
      </c>
      <c r="AA162" s="91"/>
      <c r="AB162" s="90"/>
      <c r="AC162" s="90"/>
      <c r="AD162" s="90"/>
      <c r="AE162" s="89"/>
    </row>
    <row r="163" spans="1:31" s="14" customFormat="1" ht="15.75" customHeight="1">
      <c r="A163" s="179">
        <f>A162+1</f>
        <v>93</v>
      </c>
      <c r="B163" s="65" t="s">
        <v>137</v>
      </c>
      <c r="C163" s="244">
        <f>D163+K163+M163+Q163+O163+S163+U163+W163+X163</f>
        <v>562811.43</v>
      </c>
      <c r="D163" s="19">
        <f>E163+F163+G163+H163+I163</f>
        <v>0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213"/>
      <c r="Q163" s="213"/>
      <c r="R163" s="18"/>
      <c r="S163" s="18"/>
      <c r="T163" s="213"/>
      <c r="U163" s="213"/>
      <c r="V163" s="18"/>
      <c r="W163" s="18">
        <f>Y163</f>
        <v>562811.43</v>
      </c>
      <c r="X163" s="18"/>
      <c r="Y163" s="66">
        <v>562811.43</v>
      </c>
      <c r="Z163" s="306" t="s">
        <v>97</v>
      </c>
      <c r="AA163" s="91"/>
      <c r="AB163" s="90"/>
      <c r="AC163" s="90"/>
      <c r="AD163" s="90"/>
      <c r="AE163" s="89"/>
    </row>
    <row r="164" spans="1:31" s="14" customFormat="1" ht="15" customHeight="1">
      <c r="A164" s="308" t="s">
        <v>64</v>
      </c>
      <c r="B164" s="346"/>
      <c r="C164" s="18">
        <f>SUM(C160:C163)</f>
        <v>3908237.2600000002</v>
      </c>
      <c r="D164" s="18">
        <f aca="true" t="shared" si="45" ref="D164:X164">SUM(D160:D163)</f>
        <v>0</v>
      </c>
      <c r="E164" s="18">
        <f t="shared" si="45"/>
        <v>0</v>
      </c>
      <c r="F164" s="18">
        <f t="shared" si="45"/>
        <v>0</v>
      </c>
      <c r="G164" s="18">
        <f t="shared" si="45"/>
        <v>0</v>
      </c>
      <c r="H164" s="18">
        <f t="shared" si="45"/>
        <v>0</v>
      </c>
      <c r="I164" s="18">
        <f t="shared" si="45"/>
        <v>0</v>
      </c>
      <c r="J164" s="18">
        <f t="shared" si="45"/>
        <v>0</v>
      </c>
      <c r="K164" s="18">
        <f t="shared" si="45"/>
        <v>0</v>
      </c>
      <c r="L164" s="228">
        <f t="shared" si="45"/>
        <v>0</v>
      </c>
      <c r="M164" s="228">
        <f t="shared" si="45"/>
        <v>0</v>
      </c>
      <c r="N164" s="228">
        <f t="shared" si="45"/>
        <v>0</v>
      </c>
      <c r="O164" s="228">
        <f t="shared" si="45"/>
        <v>0</v>
      </c>
      <c r="P164" s="228">
        <f t="shared" si="45"/>
        <v>0</v>
      </c>
      <c r="Q164" s="228">
        <f>SUM(Q160:Q163)</f>
        <v>0</v>
      </c>
      <c r="R164" s="228">
        <f t="shared" si="45"/>
        <v>0</v>
      </c>
      <c r="S164" s="228">
        <f t="shared" si="45"/>
        <v>0</v>
      </c>
      <c r="T164" s="228">
        <f t="shared" si="45"/>
        <v>0</v>
      </c>
      <c r="U164" s="228">
        <f t="shared" si="45"/>
        <v>0</v>
      </c>
      <c r="V164" s="228">
        <f t="shared" si="45"/>
        <v>0</v>
      </c>
      <c r="W164" s="228">
        <f t="shared" si="45"/>
        <v>3908237.2600000002</v>
      </c>
      <c r="X164" s="20">
        <f t="shared" si="45"/>
        <v>0</v>
      </c>
      <c r="Y164" s="306"/>
      <c r="Z164" s="306"/>
      <c r="AA164" s="91">
        <f>E164+F164+G164+H164+I164+K164+M164+O164+Q164+S164+U164+W164+V164+X164</f>
        <v>3908237.2600000002</v>
      </c>
      <c r="AB164" s="90">
        <f>AA164-C164</f>
        <v>0</v>
      </c>
      <c r="AC164" s="90"/>
      <c r="AD164" s="90"/>
      <c r="AE164" s="89"/>
    </row>
    <row r="165" spans="1:31" s="14" customFormat="1" ht="15" customHeight="1">
      <c r="A165" s="307" t="s">
        <v>255</v>
      </c>
      <c r="B165" s="307"/>
      <c r="C165" s="30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306"/>
      <c r="Y165" s="306"/>
      <c r="Z165" s="306"/>
      <c r="AA165" s="91" t="s">
        <v>235</v>
      </c>
      <c r="AB165" s="90"/>
      <c r="AC165" s="90"/>
      <c r="AD165" s="90"/>
      <c r="AE165" s="89"/>
    </row>
    <row r="166" spans="1:31" s="14" customFormat="1" ht="15" customHeight="1">
      <c r="A166" s="92">
        <f>A163+1</f>
        <v>94</v>
      </c>
      <c r="B166" s="88" t="s">
        <v>234</v>
      </c>
      <c r="C166" s="18">
        <f>D166+K166+M166+Q166+O166+S166+U166+W166+X166</f>
        <v>463129.6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>
        <f>463129.6</f>
        <v>463129.6</v>
      </c>
      <c r="X166" s="306"/>
      <c r="Y166" s="306"/>
      <c r="Z166" s="306" t="s">
        <v>276</v>
      </c>
      <c r="AA166" s="91"/>
      <c r="AB166" s="90"/>
      <c r="AC166" s="90"/>
      <c r="AD166" s="90"/>
      <c r="AE166" s="89"/>
    </row>
    <row r="167" spans="1:31" s="14" customFormat="1" ht="15" customHeight="1">
      <c r="A167" s="308" t="s">
        <v>64</v>
      </c>
      <c r="B167" s="308"/>
      <c r="C167" s="18">
        <f aca="true" t="shared" si="46" ref="C167:X167">SUM(C166:C166)</f>
        <v>463129.6</v>
      </c>
      <c r="D167" s="18">
        <f t="shared" si="46"/>
        <v>0</v>
      </c>
      <c r="E167" s="18">
        <f t="shared" si="46"/>
        <v>0</v>
      </c>
      <c r="F167" s="18">
        <f t="shared" si="46"/>
        <v>0</v>
      </c>
      <c r="G167" s="18">
        <f t="shared" si="46"/>
        <v>0</v>
      </c>
      <c r="H167" s="18">
        <f t="shared" si="46"/>
        <v>0</v>
      </c>
      <c r="I167" s="18">
        <f t="shared" si="46"/>
        <v>0</v>
      </c>
      <c r="J167" s="18">
        <f t="shared" si="46"/>
        <v>0</v>
      </c>
      <c r="K167" s="18">
        <f t="shared" si="46"/>
        <v>0</v>
      </c>
      <c r="L167" s="18">
        <f t="shared" si="46"/>
        <v>0</v>
      </c>
      <c r="M167" s="18">
        <f t="shared" si="46"/>
        <v>0</v>
      </c>
      <c r="N167" s="18">
        <f t="shared" si="46"/>
        <v>0</v>
      </c>
      <c r="O167" s="18">
        <f t="shared" si="46"/>
        <v>0</v>
      </c>
      <c r="P167" s="18">
        <f t="shared" si="46"/>
        <v>0</v>
      </c>
      <c r="Q167" s="18">
        <f t="shared" si="46"/>
        <v>0</v>
      </c>
      <c r="R167" s="18">
        <f t="shared" si="46"/>
        <v>0</v>
      </c>
      <c r="S167" s="18">
        <f t="shared" si="46"/>
        <v>0</v>
      </c>
      <c r="T167" s="18">
        <f t="shared" si="46"/>
        <v>0</v>
      </c>
      <c r="U167" s="18">
        <f t="shared" si="46"/>
        <v>0</v>
      </c>
      <c r="V167" s="18">
        <f t="shared" si="46"/>
        <v>0</v>
      </c>
      <c r="W167" s="18">
        <f t="shared" si="46"/>
        <v>463129.6</v>
      </c>
      <c r="X167" s="306">
        <f t="shared" si="46"/>
        <v>0</v>
      </c>
      <c r="Y167" s="306"/>
      <c r="Z167" s="306"/>
      <c r="AA167" s="91"/>
      <c r="AB167" s="90"/>
      <c r="AC167" s="90"/>
      <c r="AD167" s="90"/>
      <c r="AE167" s="89"/>
    </row>
    <row r="168" spans="1:28" ht="12.75" customHeight="1">
      <c r="A168" s="307" t="s">
        <v>93</v>
      </c>
      <c r="B168" s="307"/>
      <c r="C168" s="307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292"/>
      <c r="Z168" s="292"/>
      <c r="AA168" s="91"/>
      <c r="AB168" s="90"/>
    </row>
    <row r="169" spans="1:28" ht="17.25" customHeight="1">
      <c r="A169" s="92">
        <f>A166+1</f>
        <v>95</v>
      </c>
      <c r="B169" s="103" t="s">
        <v>345</v>
      </c>
      <c r="C169" s="18">
        <f>D169+K169+M169+O169+Q169+S169+U169+V169+W169+X169</f>
        <v>842307.74</v>
      </c>
      <c r="D169" s="19">
        <f>E169+F169+G169+H169+I169</f>
        <v>0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245"/>
      <c r="Q169" s="19"/>
      <c r="R169" s="18"/>
      <c r="S169" s="18"/>
      <c r="T169" s="18"/>
      <c r="U169" s="18"/>
      <c r="V169" s="18"/>
      <c r="W169" s="18">
        <f>Y169</f>
        <v>842307.74</v>
      </c>
      <c r="X169" s="306"/>
      <c r="Y169" s="216">
        <v>842307.74</v>
      </c>
      <c r="Z169" s="306" t="s">
        <v>97</v>
      </c>
      <c r="AA169" s="91"/>
      <c r="AB169" s="90"/>
    </row>
    <row r="170" spans="1:30" ht="12.75" customHeight="1">
      <c r="A170" s="308" t="s">
        <v>64</v>
      </c>
      <c r="B170" s="308"/>
      <c r="C170" s="18">
        <f aca="true" t="shared" si="47" ref="C170:X170">SUM(C169:C169)</f>
        <v>842307.74</v>
      </c>
      <c r="D170" s="18">
        <f t="shared" si="47"/>
        <v>0</v>
      </c>
      <c r="E170" s="18">
        <f t="shared" si="47"/>
        <v>0</v>
      </c>
      <c r="F170" s="18">
        <f t="shared" si="47"/>
        <v>0</v>
      </c>
      <c r="G170" s="18">
        <f t="shared" si="47"/>
        <v>0</v>
      </c>
      <c r="H170" s="18">
        <f t="shared" si="47"/>
        <v>0</v>
      </c>
      <c r="I170" s="18">
        <f t="shared" si="47"/>
        <v>0</v>
      </c>
      <c r="J170" s="18">
        <f t="shared" si="47"/>
        <v>0</v>
      </c>
      <c r="K170" s="18">
        <f t="shared" si="47"/>
        <v>0</v>
      </c>
      <c r="L170" s="18">
        <f t="shared" si="47"/>
        <v>0</v>
      </c>
      <c r="M170" s="18">
        <f t="shared" si="47"/>
        <v>0</v>
      </c>
      <c r="N170" s="18">
        <f t="shared" si="47"/>
        <v>0</v>
      </c>
      <c r="O170" s="18">
        <f t="shared" si="47"/>
        <v>0</v>
      </c>
      <c r="P170" s="18">
        <f t="shared" si="47"/>
        <v>0</v>
      </c>
      <c r="Q170" s="18">
        <f t="shared" si="47"/>
        <v>0</v>
      </c>
      <c r="R170" s="18">
        <f t="shared" si="47"/>
        <v>0</v>
      </c>
      <c r="S170" s="18">
        <f t="shared" si="47"/>
        <v>0</v>
      </c>
      <c r="T170" s="18">
        <f t="shared" si="47"/>
        <v>0</v>
      </c>
      <c r="U170" s="18">
        <f t="shared" si="47"/>
        <v>0</v>
      </c>
      <c r="V170" s="18">
        <f t="shared" si="47"/>
        <v>0</v>
      </c>
      <c r="W170" s="18">
        <f t="shared" si="47"/>
        <v>842307.74</v>
      </c>
      <c r="X170" s="306">
        <f t="shared" si="47"/>
        <v>0</v>
      </c>
      <c r="Y170" s="306"/>
      <c r="Z170" s="306"/>
      <c r="AA170" s="91">
        <f>E170+F170+G170+H170+I170+K170+M170+O170+Q170+S170+U170+W170+V170+X170</f>
        <v>842307.74</v>
      </c>
      <c r="AB170" s="90">
        <f>AA170-C170</f>
        <v>0</v>
      </c>
      <c r="AC170" s="90"/>
      <c r="AD170" s="90"/>
    </row>
    <row r="171" spans="1:30" ht="12.75" customHeight="1">
      <c r="A171" s="307" t="s">
        <v>321</v>
      </c>
      <c r="B171" s="307"/>
      <c r="C171" s="30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306"/>
      <c r="Y171" s="306"/>
      <c r="Z171" s="306"/>
      <c r="AA171" s="91"/>
      <c r="AB171" s="90"/>
      <c r="AC171" s="90"/>
      <c r="AD171" s="90"/>
    </row>
    <row r="172" spans="1:30" ht="12.75" customHeight="1">
      <c r="A172" s="92">
        <f>A169+1</f>
        <v>96</v>
      </c>
      <c r="B172" s="100" t="s">
        <v>322</v>
      </c>
      <c r="C172" s="18">
        <f aca="true" t="shared" si="48" ref="C172:C177">D172+K172+M172+O172+Q172+S172+U172+V172+W172+X172</f>
        <v>308445.98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9">
        <f>308445.98</f>
        <v>308445.98</v>
      </c>
      <c r="X172" s="304"/>
      <c r="Y172" s="304"/>
      <c r="Z172" s="304" t="s">
        <v>328</v>
      </c>
      <c r="AA172" s="91"/>
      <c r="AB172" s="90"/>
      <c r="AC172" s="90"/>
      <c r="AD172" s="90"/>
    </row>
    <row r="173" spans="1:30" ht="12.75" customHeight="1">
      <c r="A173" s="92">
        <f>A172+1</f>
        <v>97</v>
      </c>
      <c r="B173" s="100" t="s">
        <v>323</v>
      </c>
      <c r="C173" s="18">
        <f t="shared" si="48"/>
        <v>328599.7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9">
        <f>328599.7</f>
        <v>328599.7</v>
      </c>
      <c r="X173" s="304"/>
      <c r="Y173" s="304"/>
      <c r="Z173" s="304" t="s">
        <v>302</v>
      </c>
      <c r="AA173" s="91"/>
      <c r="AB173" s="90"/>
      <c r="AC173" s="90"/>
      <c r="AD173" s="90"/>
    </row>
    <row r="174" spans="1:30" ht="12.75" customHeight="1">
      <c r="A174" s="92">
        <f>A173+1</f>
        <v>98</v>
      </c>
      <c r="B174" s="100" t="s">
        <v>324</v>
      </c>
      <c r="C174" s="18">
        <f t="shared" si="48"/>
        <v>327010.7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>
        <f>327010.7</f>
        <v>327010.7</v>
      </c>
      <c r="X174" s="304"/>
      <c r="Y174" s="304"/>
      <c r="Z174" s="304" t="s">
        <v>302</v>
      </c>
      <c r="AA174" s="91"/>
      <c r="AB174" s="90"/>
      <c r="AC174" s="90"/>
      <c r="AD174" s="90"/>
    </row>
    <row r="175" spans="1:30" ht="12.75" customHeight="1">
      <c r="A175" s="92">
        <f>A174+1</f>
        <v>99</v>
      </c>
      <c r="B175" s="100" t="s">
        <v>325</v>
      </c>
      <c r="C175" s="18">
        <f t="shared" si="48"/>
        <v>356037.45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9">
        <f>356037.45</f>
        <v>356037.45</v>
      </c>
      <c r="X175" s="304"/>
      <c r="Y175" s="304"/>
      <c r="Z175" s="304" t="s">
        <v>302</v>
      </c>
      <c r="AA175" s="91"/>
      <c r="AB175" s="90"/>
      <c r="AC175" s="90"/>
      <c r="AD175" s="90"/>
    </row>
    <row r="176" spans="1:30" ht="12.75" customHeight="1">
      <c r="A176" s="92">
        <f>A175+1</f>
        <v>100</v>
      </c>
      <c r="B176" s="100" t="s">
        <v>326</v>
      </c>
      <c r="C176" s="18">
        <f t="shared" si="48"/>
        <v>682668.66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9">
        <f>682668.66</f>
        <v>682668.66</v>
      </c>
      <c r="X176" s="304"/>
      <c r="Y176" s="304"/>
      <c r="Z176" s="304" t="s">
        <v>97</v>
      </c>
      <c r="AA176" s="91"/>
      <c r="AB176" s="90"/>
      <c r="AC176" s="90"/>
      <c r="AD176" s="90"/>
    </row>
    <row r="177" spans="1:30" ht="12.75" customHeight="1">
      <c r="A177" s="92">
        <f>A176+1</f>
        <v>101</v>
      </c>
      <c r="B177" s="100" t="s">
        <v>327</v>
      </c>
      <c r="C177" s="18">
        <f t="shared" si="48"/>
        <v>686370.98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9">
        <v>686370.98</v>
      </c>
      <c r="X177" s="304"/>
      <c r="Y177" s="304"/>
      <c r="Z177" s="304" t="s">
        <v>97</v>
      </c>
      <c r="AA177" s="91"/>
      <c r="AB177" s="90"/>
      <c r="AC177" s="90"/>
      <c r="AD177" s="90"/>
    </row>
    <row r="178" spans="1:30" ht="12.75" customHeight="1">
      <c r="A178" s="308" t="s">
        <v>64</v>
      </c>
      <c r="B178" s="308"/>
      <c r="C178" s="18">
        <f>SUM(C172:C177)</f>
        <v>2689133.4699999997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>
        <f>SUM(W172:W177)</f>
        <v>2689133.4699999997</v>
      </c>
      <c r="X178" s="306">
        <f>C178-W178</f>
        <v>0</v>
      </c>
      <c r="Y178" s="304"/>
      <c r="Z178" s="304"/>
      <c r="AA178" s="91"/>
      <c r="AB178" s="90"/>
      <c r="AC178" s="90"/>
      <c r="AD178" s="90"/>
    </row>
    <row r="179" spans="1:30" ht="16.5" customHeight="1">
      <c r="A179" s="307" t="s">
        <v>256</v>
      </c>
      <c r="B179" s="307"/>
      <c r="C179" s="30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306"/>
      <c r="Y179" s="306"/>
      <c r="Z179" s="306"/>
      <c r="AA179" s="91"/>
      <c r="AB179" s="90"/>
      <c r="AC179" s="90"/>
      <c r="AD179" s="90"/>
    </row>
    <row r="180" spans="1:30" ht="16.5" customHeight="1">
      <c r="A180" s="92">
        <f>A177+1</f>
        <v>102</v>
      </c>
      <c r="B180" s="100" t="s">
        <v>232</v>
      </c>
      <c r="C180" s="18">
        <f>D180+K180+M180+O180+Q180+S180+U180+V180+W180+X180</f>
        <v>251439.06</v>
      </c>
      <c r="D180" s="229"/>
      <c r="E180" s="246"/>
      <c r="F180" s="246"/>
      <c r="G180" s="246"/>
      <c r="H180" s="246"/>
      <c r="I180" s="246"/>
      <c r="J180" s="246"/>
      <c r="K180" s="246"/>
      <c r="L180" s="229"/>
      <c r="M180" s="229"/>
      <c r="N180" s="229"/>
      <c r="O180" s="246"/>
      <c r="P180" s="229"/>
      <c r="Q180" s="229"/>
      <c r="R180" s="246"/>
      <c r="S180" s="246"/>
      <c r="T180" s="246"/>
      <c r="U180" s="246"/>
      <c r="V180" s="247"/>
      <c r="W180" s="229">
        <f>Y180</f>
        <v>251439.06</v>
      </c>
      <c r="X180" s="27"/>
      <c r="Y180" s="306">
        <f>143844.61+107594.45</f>
        <v>251439.06</v>
      </c>
      <c r="Z180" s="27" t="s">
        <v>294</v>
      </c>
      <c r="AA180" s="91"/>
      <c r="AB180" s="90"/>
      <c r="AC180" s="90"/>
      <c r="AD180" s="90"/>
    </row>
    <row r="181" spans="1:30" ht="16.5" customHeight="1">
      <c r="A181" s="308" t="s">
        <v>64</v>
      </c>
      <c r="B181" s="308"/>
      <c r="C181" s="18">
        <f aca="true" t="shared" si="49" ref="C181:X181">SUM(C180:C180)</f>
        <v>251439.06</v>
      </c>
      <c r="D181" s="18">
        <f t="shared" si="49"/>
        <v>0</v>
      </c>
      <c r="E181" s="18">
        <f t="shared" si="49"/>
        <v>0</v>
      </c>
      <c r="F181" s="18">
        <f t="shared" si="49"/>
        <v>0</v>
      </c>
      <c r="G181" s="18">
        <f t="shared" si="49"/>
        <v>0</v>
      </c>
      <c r="H181" s="18">
        <f t="shared" si="49"/>
        <v>0</v>
      </c>
      <c r="I181" s="18">
        <f t="shared" si="49"/>
        <v>0</v>
      </c>
      <c r="J181" s="18">
        <f t="shared" si="49"/>
        <v>0</v>
      </c>
      <c r="K181" s="18">
        <f t="shared" si="49"/>
        <v>0</v>
      </c>
      <c r="L181" s="18">
        <f t="shared" si="49"/>
        <v>0</v>
      </c>
      <c r="M181" s="18">
        <f t="shared" si="49"/>
        <v>0</v>
      </c>
      <c r="N181" s="18">
        <f t="shared" si="49"/>
        <v>0</v>
      </c>
      <c r="O181" s="18">
        <f t="shared" si="49"/>
        <v>0</v>
      </c>
      <c r="P181" s="18">
        <f t="shared" si="49"/>
        <v>0</v>
      </c>
      <c r="Q181" s="18">
        <f t="shared" si="49"/>
        <v>0</v>
      </c>
      <c r="R181" s="18">
        <f t="shared" si="49"/>
        <v>0</v>
      </c>
      <c r="S181" s="18">
        <f t="shared" si="49"/>
        <v>0</v>
      </c>
      <c r="T181" s="18">
        <f t="shared" si="49"/>
        <v>0</v>
      </c>
      <c r="U181" s="18">
        <f t="shared" si="49"/>
        <v>0</v>
      </c>
      <c r="V181" s="18">
        <f t="shared" si="49"/>
        <v>0</v>
      </c>
      <c r="W181" s="18">
        <f t="shared" si="49"/>
        <v>251439.06</v>
      </c>
      <c r="X181" s="306">
        <f t="shared" si="49"/>
        <v>0</v>
      </c>
      <c r="Y181" s="306"/>
      <c r="Z181" s="306"/>
      <c r="AA181" s="91"/>
      <c r="AB181" s="90"/>
      <c r="AC181" s="90"/>
      <c r="AD181" s="90"/>
    </row>
    <row r="182" spans="1:31" s="13" customFormat="1" ht="16.5" customHeight="1">
      <c r="A182" s="307" t="s">
        <v>81</v>
      </c>
      <c r="B182" s="307"/>
      <c r="C182" s="225">
        <f>C170+C158+C164+C181+C167+C178</f>
        <v>12661102.95</v>
      </c>
      <c r="D182" s="225">
        <f aca="true" t="shared" si="50" ref="D182:Y182">D170+D158+D164+D181+D167+D178</f>
        <v>0</v>
      </c>
      <c r="E182" s="225">
        <f t="shared" si="50"/>
        <v>0</v>
      </c>
      <c r="F182" s="225">
        <f t="shared" si="50"/>
        <v>0</v>
      </c>
      <c r="G182" s="225">
        <f t="shared" si="50"/>
        <v>0</v>
      </c>
      <c r="H182" s="225">
        <f t="shared" si="50"/>
        <v>0</v>
      </c>
      <c r="I182" s="225">
        <f t="shared" si="50"/>
        <v>0</v>
      </c>
      <c r="J182" s="225">
        <f t="shared" si="50"/>
        <v>0</v>
      </c>
      <c r="K182" s="225">
        <f t="shared" si="50"/>
        <v>0</v>
      </c>
      <c r="L182" s="225">
        <f t="shared" si="50"/>
        <v>0</v>
      </c>
      <c r="M182" s="225">
        <f t="shared" si="50"/>
        <v>0</v>
      </c>
      <c r="N182" s="225">
        <f t="shared" si="50"/>
        <v>0</v>
      </c>
      <c r="O182" s="225">
        <f t="shared" si="50"/>
        <v>0</v>
      </c>
      <c r="P182" s="225">
        <f t="shared" si="50"/>
        <v>0</v>
      </c>
      <c r="Q182" s="225">
        <f t="shared" si="50"/>
        <v>0</v>
      </c>
      <c r="R182" s="225">
        <f t="shared" si="50"/>
        <v>0</v>
      </c>
      <c r="S182" s="225">
        <f t="shared" si="50"/>
        <v>0</v>
      </c>
      <c r="T182" s="225">
        <f t="shared" si="50"/>
        <v>0</v>
      </c>
      <c r="U182" s="225">
        <f t="shared" si="50"/>
        <v>0</v>
      </c>
      <c r="V182" s="225">
        <f t="shared" si="50"/>
        <v>0</v>
      </c>
      <c r="W182" s="225">
        <f t="shared" si="50"/>
        <v>12661102.95</v>
      </c>
      <c r="X182" s="298">
        <f t="shared" si="50"/>
        <v>0</v>
      </c>
      <c r="Y182" s="298">
        <f t="shared" si="50"/>
        <v>0</v>
      </c>
      <c r="Z182" s="298"/>
      <c r="AA182" s="91"/>
      <c r="AB182" s="90"/>
      <c r="AC182" s="12"/>
      <c r="AD182" s="12"/>
      <c r="AE182" s="10"/>
    </row>
    <row r="183" spans="1:31" s="13" customFormat="1" ht="16.5" customHeight="1">
      <c r="A183" s="334" t="s">
        <v>82</v>
      </c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298"/>
      <c r="Z183" s="298"/>
      <c r="AA183" s="91"/>
      <c r="AB183" s="90"/>
      <c r="AE183" s="89"/>
    </row>
    <row r="184" spans="1:31" s="13" customFormat="1" ht="16.5" customHeight="1">
      <c r="A184" s="307" t="s">
        <v>257</v>
      </c>
      <c r="B184" s="307"/>
      <c r="C184" s="307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98"/>
      <c r="Y184" s="298"/>
      <c r="Z184" s="298"/>
      <c r="AA184" s="91"/>
      <c r="AB184" s="90"/>
      <c r="AE184" s="89"/>
    </row>
    <row r="185" spans="1:31" s="13" customFormat="1" ht="18" customHeight="1">
      <c r="A185" s="92">
        <f>A180+1</f>
        <v>103</v>
      </c>
      <c r="B185" s="211" t="s">
        <v>237</v>
      </c>
      <c r="C185" s="244">
        <f>D185+K185+M185+Q185+O185+S185+U185+W185+X185</f>
        <v>158959.07</v>
      </c>
      <c r="D185" s="225"/>
      <c r="E185" s="225"/>
      <c r="F185" s="225"/>
      <c r="G185" s="225"/>
      <c r="H185" s="225"/>
      <c r="I185" s="225"/>
      <c r="J185" s="225"/>
      <c r="K185" s="225"/>
      <c r="L185" s="225"/>
      <c r="M185" s="19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>
        <f>Y185</f>
        <v>158959.07</v>
      </c>
      <c r="X185" s="298"/>
      <c r="Y185" s="306">
        <v>158959.07</v>
      </c>
      <c r="Z185" s="306" t="s">
        <v>276</v>
      </c>
      <c r="AA185" s="91"/>
      <c r="AB185" s="90"/>
      <c r="AE185" s="89"/>
    </row>
    <row r="186" spans="1:31" s="13" customFormat="1" ht="16.5" customHeight="1">
      <c r="A186" s="308" t="s">
        <v>64</v>
      </c>
      <c r="B186" s="308"/>
      <c r="C186" s="225">
        <f>C185</f>
        <v>158959.07</v>
      </c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>
        <f>W185</f>
        <v>158959.07</v>
      </c>
      <c r="X186" s="306">
        <f>C186-W186</f>
        <v>0</v>
      </c>
      <c r="Y186" s="298"/>
      <c r="Z186" s="298"/>
      <c r="AA186" s="91"/>
      <c r="AB186" s="90"/>
      <c r="AE186" s="89"/>
    </row>
    <row r="187" spans="1:31" s="13" customFormat="1" ht="16.5" customHeight="1">
      <c r="A187" s="92"/>
      <c r="B187" s="291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98"/>
      <c r="Y187" s="298"/>
      <c r="Z187" s="298"/>
      <c r="AA187" s="91"/>
      <c r="AB187" s="90"/>
      <c r="AE187" s="89"/>
    </row>
    <row r="188" spans="1:31" s="13" customFormat="1" ht="16.5" customHeight="1">
      <c r="A188" s="307" t="s">
        <v>295</v>
      </c>
      <c r="B188" s="307"/>
      <c r="C188" s="307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98"/>
      <c r="Y188" s="298"/>
      <c r="Z188" s="298"/>
      <c r="AA188" s="91"/>
      <c r="AB188" s="90"/>
      <c r="AE188" s="89"/>
    </row>
    <row r="189" spans="1:31" s="13" customFormat="1" ht="16.5" customHeight="1">
      <c r="A189" s="92">
        <f>A185+1</f>
        <v>104</v>
      </c>
      <c r="B189" s="74" t="s">
        <v>238</v>
      </c>
      <c r="C189" s="244">
        <f aca="true" t="shared" si="51" ref="C189:C198">D189+K189+M189+Q189+O189+S189+U189+W189+X189</f>
        <v>203324.41</v>
      </c>
      <c r="D189" s="248"/>
      <c r="E189" s="248"/>
      <c r="F189" s="248"/>
      <c r="G189" s="248"/>
      <c r="H189" s="248"/>
      <c r="I189" s="248"/>
      <c r="J189" s="248"/>
      <c r="K189" s="248"/>
      <c r="L189" s="243"/>
      <c r="M189" s="243"/>
      <c r="N189" s="96"/>
      <c r="O189" s="96"/>
      <c r="P189" s="229"/>
      <c r="Q189" s="249"/>
      <c r="R189" s="96"/>
      <c r="S189" s="225"/>
      <c r="T189" s="225"/>
      <c r="U189" s="225"/>
      <c r="V189" s="225"/>
      <c r="W189" s="225">
        <f>Y189</f>
        <v>203324.41</v>
      </c>
      <c r="X189" s="298"/>
      <c r="Y189" s="216">
        <v>203324.41</v>
      </c>
      <c r="Z189" s="304" t="s">
        <v>276</v>
      </c>
      <c r="AA189" s="91"/>
      <c r="AB189" s="90"/>
      <c r="AE189" s="89"/>
    </row>
    <row r="190" spans="1:31" s="13" customFormat="1" ht="16.5" customHeight="1">
      <c r="A190" s="92">
        <f aca="true" t="shared" si="52" ref="A190:A198">A189+1</f>
        <v>105</v>
      </c>
      <c r="B190" s="74" t="s">
        <v>239</v>
      </c>
      <c r="C190" s="244">
        <f t="shared" si="51"/>
        <v>225309.44</v>
      </c>
      <c r="D190" s="248"/>
      <c r="E190" s="248"/>
      <c r="F190" s="248"/>
      <c r="G190" s="248"/>
      <c r="H190" s="248"/>
      <c r="I190" s="248"/>
      <c r="J190" s="248"/>
      <c r="K190" s="248"/>
      <c r="L190" s="243"/>
      <c r="M190" s="243"/>
      <c r="N190" s="96"/>
      <c r="O190" s="96"/>
      <c r="P190" s="229"/>
      <c r="Q190" s="249"/>
      <c r="R190" s="96"/>
      <c r="S190" s="225"/>
      <c r="T190" s="225"/>
      <c r="U190" s="225"/>
      <c r="V190" s="225"/>
      <c r="W190" s="225">
        <f aca="true" t="shared" si="53" ref="W190:W198">Y190</f>
        <v>225309.44</v>
      </c>
      <c r="X190" s="298"/>
      <c r="Y190" s="216">
        <v>225309.44</v>
      </c>
      <c r="Z190" s="304" t="s">
        <v>276</v>
      </c>
      <c r="AA190" s="91"/>
      <c r="AB190" s="90"/>
      <c r="AE190" s="89"/>
    </row>
    <row r="191" spans="1:31" s="13" customFormat="1" ht="16.5" customHeight="1">
      <c r="A191" s="92">
        <f t="shared" si="52"/>
        <v>106</v>
      </c>
      <c r="B191" s="74" t="s">
        <v>240</v>
      </c>
      <c r="C191" s="244">
        <f t="shared" si="51"/>
        <v>337229</v>
      </c>
      <c r="D191" s="248"/>
      <c r="E191" s="248"/>
      <c r="F191" s="248"/>
      <c r="G191" s="248"/>
      <c r="H191" s="248"/>
      <c r="I191" s="248"/>
      <c r="J191" s="248"/>
      <c r="K191" s="248"/>
      <c r="L191" s="243"/>
      <c r="M191" s="243"/>
      <c r="N191" s="96"/>
      <c r="O191" s="96"/>
      <c r="P191" s="229"/>
      <c r="Q191" s="249"/>
      <c r="R191" s="96"/>
      <c r="S191" s="225"/>
      <c r="T191" s="225"/>
      <c r="U191" s="225"/>
      <c r="V191" s="225"/>
      <c r="W191" s="225">
        <f t="shared" si="53"/>
        <v>337229</v>
      </c>
      <c r="X191" s="298"/>
      <c r="Y191" s="216">
        <v>337229</v>
      </c>
      <c r="Z191" s="304" t="s">
        <v>276</v>
      </c>
      <c r="AA191" s="91"/>
      <c r="AB191" s="90"/>
      <c r="AE191" s="89"/>
    </row>
    <row r="192" spans="1:31" s="13" customFormat="1" ht="16.5" customHeight="1">
      <c r="A192" s="92">
        <f t="shared" si="52"/>
        <v>107</v>
      </c>
      <c r="B192" s="74" t="s">
        <v>241</v>
      </c>
      <c r="C192" s="244">
        <f t="shared" si="51"/>
        <v>179677.9</v>
      </c>
      <c r="D192" s="248"/>
      <c r="E192" s="248"/>
      <c r="F192" s="248"/>
      <c r="G192" s="248"/>
      <c r="H192" s="248"/>
      <c r="I192" s="248"/>
      <c r="J192" s="248"/>
      <c r="K192" s="248"/>
      <c r="L192" s="243"/>
      <c r="M192" s="243"/>
      <c r="N192" s="96"/>
      <c r="O192" s="96"/>
      <c r="P192" s="229"/>
      <c r="Q192" s="249"/>
      <c r="R192" s="96"/>
      <c r="S192" s="225"/>
      <c r="T192" s="225"/>
      <c r="U192" s="225"/>
      <c r="V192" s="225"/>
      <c r="W192" s="225">
        <f t="shared" si="53"/>
        <v>179677.9</v>
      </c>
      <c r="X192" s="298"/>
      <c r="Y192" s="216">
        <v>179677.9</v>
      </c>
      <c r="Z192" s="304" t="s">
        <v>276</v>
      </c>
      <c r="AA192" s="91"/>
      <c r="AB192" s="90"/>
      <c r="AE192" s="89"/>
    </row>
    <row r="193" spans="1:31" s="13" customFormat="1" ht="16.5" customHeight="1">
      <c r="A193" s="92">
        <f t="shared" si="52"/>
        <v>108</v>
      </c>
      <c r="B193" s="74" t="s">
        <v>371</v>
      </c>
      <c r="C193" s="244">
        <f t="shared" si="51"/>
        <v>825877.37</v>
      </c>
      <c r="D193" s="248"/>
      <c r="E193" s="248"/>
      <c r="F193" s="248"/>
      <c r="G193" s="248"/>
      <c r="H193" s="248"/>
      <c r="I193" s="248"/>
      <c r="J193" s="248"/>
      <c r="K193" s="248"/>
      <c r="L193" s="243"/>
      <c r="M193" s="243"/>
      <c r="N193" s="96"/>
      <c r="O193" s="96"/>
      <c r="P193" s="237"/>
      <c r="Q193" s="249"/>
      <c r="R193" s="96"/>
      <c r="S193" s="225"/>
      <c r="T193" s="225"/>
      <c r="U193" s="225"/>
      <c r="V193" s="225"/>
      <c r="W193" s="225">
        <f t="shared" si="53"/>
        <v>825877.37</v>
      </c>
      <c r="X193" s="298"/>
      <c r="Y193" s="216">
        <v>825877.37</v>
      </c>
      <c r="Z193" s="304" t="s">
        <v>276</v>
      </c>
      <c r="AA193" s="91"/>
      <c r="AB193" s="90"/>
      <c r="AE193" s="89"/>
    </row>
    <row r="194" spans="1:31" s="13" customFormat="1" ht="16.5" customHeight="1">
      <c r="A194" s="92">
        <f t="shared" si="52"/>
        <v>109</v>
      </c>
      <c r="B194" s="74" t="s">
        <v>372</v>
      </c>
      <c r="C194" s="244">
        <f t="shared" si="51"/>
        <v>162916.74</v>
      </c>
      <c r="D194" s="248"/>
      <c r="E194" s="248"/>
      <c r="F194" s="248"/>
      <c r="G194" s="248"/>
      <c r="H194" s="248"/>
      <c r="I194" s="248"/>
      <c r="J194" s="248"/>
      <c r="K194" s="248"/>
      <c r="L194" s="243"/>
      <c r="M194" s="243"/>
      <c r="N194" s="96"/>
      <c r="O194" s="96"/>
      <c r="P194" s="237"/>
      <c r="Q194" s="249"/>
      <c r="R194" s="96"/>
      <c r="S194" s="225"/>
      <c r="T194" s="225"/>
      <c r="U194" s="225"/>
      <c r="V194" s="225"/>
      <c r="W194" s="225">
        <f t="shared" si="53"/>
        <v>162916.74</v>
      </c>
      <c r="X194" s="298"/>
      <c r="Y194" s="216">
        <v>162916.74</v>
      </c>
      <c r="Z194" s="304" t="s">
        <v>276</v>
      </c>
      <c r="AA194" s="91"/>
      <c r="AB194" s="90"/>
      <c r="AE194" s="89"/>
    </row>
    <row r="195" spans="1:31" s="13" customFormat="1" ht="16.5" customHeight="1">
      <c r="A195" s="92">
        <f t="shared" si="52"/>
        <v>110</v>
      </c>
      <c r="B195" s="74" t="s">
        <v>373</v>
      </c>
      <c r="C195" s="244">
        <f t="shared" si="51"/>
        <v>210394.24</v>
      </c>
      <c r="D195" s="248"/>
      <c r="E195" s="248"/>
      <c r="F195" s="248"/>
      <c r="G195" s="248"/>
      <c r="H195" s="248"/>
      <c r="I195" s="248"/>
      <c r="J195" s="248"/>
      <c r="K195" s="248"/>
      <c r="L195" s="250"/>
      <c r="M195" s="250"/>
      <c r="N195" s="96"/>
      <c r="O195" s="96"/>
      <c r="P195" s="237"/>
      <c r="Q195" s="249"/>
      <c r="R195" s="96"/>
      <c r="S195" s="225"/>
      <c r="T195" s="225"/>
      <c r="U195" s="225"/>
      <c r="V195" s="225"/>
      <c r="W195" s="225">
        <f t="shared" si="53"/>
        <v>210394.24</v>
      </c>
      <c r="X195" s="298"/>
      <c r="Y195" s="216">
        <v>210394.24</v>
      </c>
      <c r="Z195" s="304" t="s">
        <v>276</v>
      </c>
      <c r="AA195" s="91"/>
      <c r="AB195" s="90"/>
      <c r="AE195" s="89"/>
    </row>
    <row r="196" spans="1:31" s="13" customFormat="1" ht="16.5" customHeight="1">
      <c r="A196" s="92">
        <f t="shared" si="52"/>
        <v>111</v>
      </c>
      <c r="B196" s="74" t="s">
        <v>374</v>
      </c>
      <c r="C196" s="244">
        <f t="shared" si="51"/>
        <v>227238.61</v>
      </c>
      <c r="D196" s="248"/>
      <c r="E196" s="248"/>
      <c r="F196" s="248"/>
      <c r="G196" s="248"/>
      <c r="H196" s="248"/>
      <c r="I196" s="248"/>
      <c r="J196" s="248"/>
      <c r="K196" s="248"/>
      <c r="L196" s="250"/>
      <c r="M196" s="250"/>
      <c r="N196" s="251"/>
      <c r="O196" s="96"/>
      <c r="P196" s="237"/>
      <c r="Q196" s="249"/>
      <c r="R196" s="96"/>
      <c r="S196" s="225"/>
      <c r="T196" s="225"/>
      <c r="U196" s="225"/>
      <c r="V196" s="225"/>
      <c r="W196" s="225">
        <f t="shared" si="53"/>
        <v>227238.61</v>
      </c>
      <c r="X196" s="298"/>
      <c r="Y196" s="216">
        <v>227238.61</v>
      </c>
      <c r="Z196" s="304" t="s">
        <v>276</v>
      </c>
      <c r="AA196" s="91"/>
      <c r="AB196" s="90"/>
      <c r="AE196" s="89"/>
    </row>
    <row r="197" spans="1:31" s="13" customFormat="1" ht="16.5" customHeight="1">
      <c r="A197" s="92">
        <f t="shared" si="52"/>
        <v>112</v>
      </c>
      <c r="B197" s="217" t="s">
        <v>375</v>
      </c>
      <c r="C197" s="244">
        <f t="shared" si="51"/>
        <v>408379.98</v>
      </c>
      <c r="D197" s="248"/>
      <c r="E197" s="248"/>
      <c r="F197" s="248"/>
      <c r="G197" s="248"/>
      <c r="H197" s="248"/>
      <c r="I197" s="248"/>
      <c r="J197" s="248"/>
      <c r="K197" s="248"/>
      <c r="L197" s="243"/>
      <c r="M197" s="243"/>
      <c r="N197" s="237"/>
      <c r="O197" s="96"/>
      <c r="P197" s="237"/>
      <c r="Q197" s="249"/>
      <c r="R197" s="96"/>
      <c r="S197" s="225"/>
      <c r="T197" s="225"/>
      <c r="U197" s="225"/>
      <c r="V197" s="225"/>
      <c r="W197" s="225">
        <f t="shared" si="53"/>
        <v>408379.98</v>
      </c>
      <c r="X197" s="298"/>
      <c r="Y197" s="216">
        <v>408379.98</v>
      </c>
      <c r="Z197" s="304" t="s">
        <v>276</v>
      </c>
      <c r="AA197" s="91"/>
      <c r="AB197" s="90"/>
      <c r="AE197" s="89"/>
    </row>
    <row r="198" spans="1:31" s="13" customFormat="1" ht="16.5" customHeight="1">
      <c r="A198" s="92">
        <f t="shared" si="52"/>
        <v>113</v>
      </c>
      <c r="B198" s="74" t="s">
        <v>245</v>
      </c>
      <c r="C198" s="244">
        <f t="shared" si="51"/>
        <v>230668.97</v>
      </c>
      <c r="D198" s="248"/>
      <c r="E198" s="248"/>
      <c r="F198" s="248"/>
      <c r="G198" s="248"/>
      <c r="H198" s="248"/>
      <c r="I198" s="248"/>
      <c r="J198" s="248"/>
      <c r="K198" s="248"/>
      <c r="L198" s="243"/>
      <c r="M198" s="243"/>
      <c r="N198" s="237"/>
      <c r="O198" s="96"/>
      <c r="P198" s="237"/>
      <c r="Q198" s="249"/>
      <c r="R198" s="96"/>
      <c r="S198" s="225"/>
      <c r="T198" s="225"/>
      <c r="U198" s="225"/>
      <c r="V198" s="225"/>
      <c r="W198" s="225">
        <f t="shared" si="53"/>
        <v>230668.97</v>
      </c>
      <c r="X198" s="298"/>
      <c r="Y198" s="216">
        <v>230668.97</v>
      </c>
      <c r="Z198" s="304" t="s">
        <v>276</v>
      </c>
      <c r="AA198" s="91"/>
      <c r="AB198" s="90"/>
      <c r="AE198" s="89"/>
    </row>
    <row r="199" spans="1:31" s="13" customFormat="1" ht="16.5" customHeight="1">
      <c r="A199" s="308" t="s">
        <v>64</v>
      </c>
      <c r="B199" s="308"/>
      <c r="C199" s="225">
        <f>SUM(C189:C198)</f>
        <v>3011016.66</v>
      </c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>
        <f>SUM(W189:W198)</f>
        <v>3011016.66</v>
      </c>
      <c r="X199" s="306">
        <f>C199-W199</f>
        <v>0</v>
      </c>
      <c r="Y199" s="298"/>
      <c r="Z199" s="298"/>
      <c r="AA199" s="91"/>
      <c r="AB199" s="90"/>
      <c r="AE199" s="89"/>
    </row>
    <row r="200" spans="1:28" ht="16.5" customHeight="1">
      <c r="A200" s="307" t="s">
        <v>94</v>
      </c>
      <c r="B200" s="307"/>
      <c r="C200" s="307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292"/>
      <c r="Z200" s="292"/>
      <c r="AA200" s="91"/>
      <c r="AB200" s="90"/>
    </row>
    <row r="201" spans="1:30" ht="16.5" customHeight="1">
      <c r="A201" s="179">
        <f>A198+1</f>
        <v>114</v>
      </c>
      <c r="B201" s="24" t="s">
        <v>129</v>
      </c>
      <c r="C201" s="18">
        <f>D201+K201+M201+O201+Q201+S201+U201+V201+W201+X201</f>
        <v>116386.49</v>
      </c>
      <c r="D201" s="17"/>
      <c r="E201" s="51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9"/>
      <c r="W201" s="18">
        <f>Y202</f>
        <v>116386.49</v>
      </c>
      <c r="X201" s="306"/>
      <c r="Y201" s="306"/>
      <c r="Z201" s="306"/>
      <c r="AA201" s="91" t="s">
        <v>98</v>
      </c>
      <c r="AB201" s="90"/>
      <c r="AC201" s="90"/>
      <c r="AD201" s="90"/>
    </row>
    <row r="202" spans="1:30" ht="16.5" customHeight="1">
      <c r="A202" s="308" t="s">
        <v>64</v>
      </c>
      <c r="B202" s="308"/>
      <c r="C202" s="18">
        <f aca="true" t="shared" si="54" ref="C202:K202">SUM(C201:C201)</f>
        <v>116386.49</v>
      </c>
      <c r="D202" s="18">
        <f t="shared" si="54"/>
        <v>0</v>
      </c>
      <c r="E202" s="18">
        <f t="shared" si="54"/>
        <v>0</v>
      </c>
      <c r="F202" s="18">
        <f t="shared" si="54"/>
        <v>0</v>
      </c>
      <c r="G202" s="18">
        <f t="shared" si="54"/>
        <v>0</v>
      </c>
      <c r="H202" s="18">
        <f t="shared" si="54"/>
        <v>0</v>
      </c>
      <c r="I202" s="18">
        <f t="shared" si="54"/>
        <v>0</v>
      </c>
      <c r="J202" s="18">
        <f t="shared" si="54"/>
        <v>0</v>
      </c>
      <c r="K202" s="18">
        <f t="shared" si="54"/>
        <v>0</v>
      </c>
      <c r="L202" s="18"/>
      <c r="M202" s="18">
        <f aca="true" t="shared" si="55" ref="M202:X202">SUM(M201:M201)</f>
        <v>0</v>
      </c>
      <c r="N202" s="18">
        <f t="shared" si="55"/>
        <v>0</v>
      </c>
      <c r="O202" s="18">
        <f t="shared" si="55"/>
        <v>0</v>
      </c>
      <c r="P202" s="18">
        <f t="shared" si="55"/>
        <v>0</v>
      </c>
      <c r="Q202" s="18">
        <f t="shared" si="55"/>
        <v>0</v>
      </c>
      <c r="R202" s="18">
        <f t="shared" si="55"/>
        <v>0</v>
      </c>
      <c r="S202" s="18">
        <f t="shared" si="55"/>
        <v>0</v>
      </c>
      <c r="T202" s="18">
        <f t="shared" si="55"/>
        <v>0</v>
      </c>
      <c r="U202" s="18">
        <f t="shared" si="55"/>
        <v>0</v>
      </c>
      <c r="V202" s="18">
        <f t="shared" si="55"/>
        <v>0</v>
      </c>
      <c r="W202" s="18">
        <f t="shared" si="55"/>
        <v>116386.49</v>
      </c>
      <c r="X202" s="306">
        <f t="shared" si="55"/>
        <v>0</v>
      </c>
      <c r="Y202" s="216">
        <v>116386.49</v>
      </c>
      <c r="Z202" s="304" t="s">
        <v>280</v>
      </c>
      <c r="AA202" s="91">
        <f>E202+F202+G202+H202+I202+K202+M202+O202+Q202+S202+U202+W202+V202+X202</f>
        <v>116386.49</v>
      </c>
      <c r="AB202" s="90">
        <f>AA202-C202</f>
        <v>0</v>
      </c>
      <c r="AC202" s="90"/>
      <c r="AD202" s="90"/>
    </row>
    <row r="203" spans="1:28" ht="16.5" customHeight="1">
      <c r="A203" s="307" t="s">
        <v>274</v>
      </c>
      <c r="B203" s="307"/>
      <c r="C203" s="307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  <c r="X203" s="309"/>
      <c r="Y203" s="292"/>
      <c r="Z203" s="292"/>
      <c r="AA203" s="91"/>
      <c r="AB203" s="90"/>
    </row>
    <row r="204" spans="1:28" ht="30" customHeight="1">
      <c r="A204" s="179">
        <f>A201+1</f>
        <v>115</v>
      </c>
      <c r="B204" s="65" t="s">
        <v>376</v>
      </c>
      <c r="C204" s="244">
        <f>D204+K204+M204+O204+Q204+S204+U204+V204+W204+X204</f>
        <v>851840.57</v>
      </c>
      <c r="D204" s="17">
        <f>E204+F204+G204+H204+I204</f>
        <v>0</v>
      </c>
      <c r="E204" s="19"/>
      <c r="F204" s="19"/>
      <c r="G204" s="252"/>
      <c r="H204" s="297"/>
      <c r="I204" s="19"/>
      <c r="J204" s="19"/>
      <c r="K204" s="19"/>
      <c r="L204" s="19"/>
      <c r="M204" s="18"/>
      <c r="N204" s="19"/>
      <c r="O204" s="19"/>
      <c r="P204" s="19"/>
      <c r="Q204" s="213"/>
      <c r="R204" s="19"/>
      <c r="S204" s="213"/>
      <c r="T204" s="297"/>
      <c r="U204" s="19"/>
      <c r="V204" s="19"/>
      <c r="W204" s="19">
        <v>851840.57</v>
      </c>
      <c r="X204" s="304"/>
      <c r="Y204" s="304">
        <f>475371.3+223473.29+214594.23</f>
        <v>913438.82</v>
      </c>
      <c r="Z204" s="304" t="s">
        <v>340</v>
      </c>
      <c r="AA204" s="91" t="s">
        <v>96</v>
      </c>
      <c r="AB204" s="90"/>
    </row>
    <row r="205" spans="1:28" ht="16.5" customHeight="1">
      <c r="A205" s="179">
        <f>A204+1</f>
        <v>116</v>
      </c>
      <c r="B205" s="65" t="s">
        <v>377</v>
      </c>
      <c r="C205" s="244">
        <f>D205+K205+M205+O205+Q205+S205+U205+V205+W205+X205</f>
        <v>195048.68</v>
      </c>
      <c r="D205" s="17">
        <f>E205+F205+G205+H205+I205</f>
        <v>0</v>
      </c>
      <c r="E205" s="19"/>
      <c r="F205" s="19"/>
      <c r="G205" s="293"/>
      <c r="H205" s="19"/>
      <c r="I205" s="19"/>
      <c r="J205" s="19"/>
      <c r="K205" s="19"/>
      <c r="L205" s="19"/>
      <c r="M205" s="213"/>
      <c r="N205" s="297"/>
      <c r="O205" s="19"/>
      <c r="P205" s="19"/>
      <c r="Q205" s="252"/>
      <c r="R205" s="19"/>
      <c r="S205" s="252"/>
      <c r="T205" s="297"/>
      <c r="U205" s="19"/>
      <c r="V205" s="19"/>
      <c r="W205" s="19">
        <f>Y205</f>
        <v>195048.68</v>
      </c>
      <c r="X205" s="304"/>
      <c r="Y205" s="304">
        <v>195048.68</v>
      </c>
      <c r="Z205" s="304" t="s">
        <v>276</v>
      </c>
      <c r="AA205" s="91" t="s">
        <v>100</v>
      </c>
      <c r="AB205" s="90"/>
    </row>
    <row r="206" spans="1:28" ht="16.5" customHeight="1">
      <c r="A206" s="179">
        <f>A205+1</f>
        <v>117</v>
      </c>
      <c r="B206" s="65" t="s">
        <v>378</v>
      </c>
      <c r="C206" s="244">
        <f>D206+K206+M206+O206+Q206+S206+U206+V206+W206+X206</f>
        <v>223559.84</v>
      </c>
      <c r="D206" s="17">
        <f>E206+F206+G206+H206+I206</f>
        <v>0</v>
      </c>
      <c r="E206" s="19"/>
      <c r="F206" s="19"/>
      <c r="G206" s="19"/>
      <c r="H206" s="19"/>
      <c r="I206" s="19"/>
      <c r="J206" s="19"/>
      <c r="K206" s="19"/>
      <c r="L206" s="19"/>
      <c r="M206" s="228"/>
      <c r="N206" s="19"/>
      <c r="O206" s="19"/>
      <c r="P206" s="19"/>
      <c r="Q206" s="252"/>
      <c r="R206" s="19"/>
      <c r="S206" s="213"/>
      <c r="T206" s="297"/>
      <c r="U206" s="19"/>
      <c r="V206" s="19"/>
      <c r="W206" s="19">
        <f>Y206</f>
        <v>223559.84</v>
      </c>
      <c r="X206" s="304"/>
      <c r="Y206" s="304">
        <v>223559.84</v>
      </c>
      <c r="Z206" s="304" t="s">
        <v>277</v>
      </c>
      <c r="AA206" s="91" t="s">
        <v>99</v>
      </c>
      <c r="AB206" s="90"/>
    </row>
    <row r="207" spans="1:28" ht="12.75" customHeight="1">
      <c r="A207" s="179">
        <f>A206+1</f>
        <v>118</v>
      </c>
      <c r="B207" s="65" t="s">
        <v>379</v>
      </c>
      <c r="C207" s="244">
        <f>D207+K207+M207+O207+Q207+S207+U207+V207+W207+X207</f>
        <v>713596.46</v>
      </c>
      <c r="D207" s="17">
        <f>E207+F207+G207+H207+I207</f>
        <v>0</v>
      </c>
      <c r="E207" s="19"/>
      <c r="F207" s="252"/>
      <c r="G207" s="240"/>
      <c r="H207" s="17"/>
      <c r="I207" s="17"/>
      <c r="J207" s="17"/>
      <c r="K207" s="17"/>
      <c r="L207" s="17"/>
      <c r="M207" s="17"/>
      <c r="N207" s="17"/>
      <c r="O207" s="17"/>
      <c r="P207" s="17"/>
      <c r="Q207" s="213"/>
      <c r="R207" s="17"/>
      <c r="S207" s="213"/>
      <c r="T207" s="240"/>
      <c r="U207" s="17"/>
      <c r="V207" s="17"/>
      <c r="W207" s="19">
        <f>Y207</f>
        <v>713596.46</v>
      </c>
      <c r="X207" s="292"/>
      <c r="Y207" s="304">
        <f>122659.91+402422.59+188513.96</f>
        <v>713596.46</v>
      </c>
      <c r="Z207" s="304" t="s">
        <v>278</v>
      </c>
      <c r="AA207" s="91" t="s">
        <v>99</v>
      </c>
      <c r="AB207" s="90"/>
    </row>
    <row r="208" spans="1:30" ht="16.5" customHeight="1">
      <c r="A208" s="308" t="s">
        <v>64</v>
      </c>
      <c r="B208" s="346"/>
      <c r="C208" s="19">
        <f aca="true" t="shared" si="56" ref="C208:X208">SUM(C204:C207)</f>
        <v>1984045.55</v>
      </c>
      <c r="D208" s="19">
        <f t="shared" si="56"/>
        <v>0</v>
      </c>
      <c r="E208" s="19">
        <f t="shared" si="56"/>
        <v>0</v>
      </c>
      <c r="F208" s="293">
        <f t="shared" si="56"/>
        <v>0</v>
      </c>
      <c r="G208" s="19">
        <f t="shared" si="56"/>
        <v>0</v>
      </c>
      <c r="H208" s="19">
        <f t="shared" si="56"/>
        <v>0</v>
      </c>
      <c r="I208" s="19">
        <f t="shared" si="56"/>
        <v>0</v>
      </c>
      <c r="J208" s="19">
        <f t="shared" si="56"/>
        <v>0</v>
      </c>
      <c r="K208" s="19">
        <f t="shared" si="56"/>
        <v>0</v>
      </c>
      <c r="L208" s="19">
        <f t="shared" si="56"/>
        <v>0</v>
      </c>
      <c r="M208" s="19">
        <f t="shared" si="56"/>
        <v>0</v>
      </c>
      <c r="N208" s="19">
        <f t="shared" si="56"/>
        <v>0</v>
      </c>
      <c r="O208" s="19">
        <f t="shared" si="56"/>
        <v>0</v>
      </c>
      <c r="P208" s="19">
        <f t="shared" si="56"/>
        <v>0</v>
      </c>
      <c r="Q208" s="293">
        <f t="shared" si="56"/>
        <v>0</v>
      </c>
      <c r="R208" s="293">
        <f t="shared" si="56"/>
        <v>0</v>
      </c>
      <c r="S208" s="293">
        <f t="shared" si="56"/>
        <v>0</v>
      </c>
      <c r="T208" s="19">
        <f t="shared" si="56"/>
        <v>0</v>
      </c>
      <c r="U208" s="19">
        <f t="shared" si="56"/>
        <v>0</v>
      </c>
      <c r="V208" s="19">
        <f t="shared" si="56"/>
        <v>0</v>
      </c>
      <c r="W208" s="19">
        <f t="shared" si="56"/>
        <v>1984045.55</v>
      </c>
      <c r="X208" s="304">
        <f t="shared" si="56"/>
        <v>0</v>
      </c>
      <c r="Y208" s="304"/>
      <c r="Z208" s="304"/>
      <c r="AA208" s="91">
        <f>E208+F208+G208+H208+I208+K208+M208+O208+Q208+S208+U208+W208+V208+X208</f>
        <v>1984045.55</v>
      </c>
      <c r="AB208" s="90">
        <f>AA208-C208</f>
        <v>0</v>
      </c>
      <c r="AC208" s="90"/>
      <c r="AD208" s="90"/>
    </row>
    <row r="209" spans="1:28" ht="16.5" customHeight="1">
      <c r="A209" s="350" t="s">
        <v>367</v>
      </c>
      <c r="B209" s="350"/>
      <c r="C209" s="350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  <c r="X209" s="309"/>
      <c r="Y209" s="292"/>
      <c r="Z209" s="292"/>
      <c r="AA209" s="91"/>
      <c r="AB209" s="90"/>
    </row>
    <row r="210" spans="1:28" ht="16.5" customHeight="1">
      <c r="A210" s="92">
        <f>A207+1</f>
        <v>119</v>
      </c>
      <c r="B210" s="303" t="s">
        <v>380</v>
      </c>
      <c r="C210" s="18">
        <f>D210+K210+M210+O210+Q210+S210+U210+V210+W210+X210</f>
        <v>362319.99</v>
      </c>
      <c r="D210" s="17">
        <f>E210+F210+G210+H210+I210</f>
        <v>0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>
        <f>Y210</f>
        <v>362319.99</v>
      </c>
      <c r="X210" s="304"/>
      <c r="Y210" s="66">
        <v>362319.99</v>
      </c>
      <c r="Z210" s="304" t="s">
        <v>276</v>
      </c>
      <c r="AA210" s="91"/>
      <c r="AB210" s="90"/>
    </row>
    <row r="211" spans="1:28" ht="16.5" customHeight="1">
      <c r="A211" s="179">
        <f>A210+1</f>
        <v>120</v>
      </c>
      <c r="B211" s="303" t="s">
        <v>381</v>
      </c>
      <c r="C211" s="18">
        <f>D211+K211+M211+O211+Q211+S211+U211+V211+W211+X211</f>
        <v>208447.98</v>
      </c>
      <c r="D211" s="17">
        <f>E211+F211+G211+H211+I211</f>
        <v>0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230">
        <v>208447.98</v>
      </c>
      <c r="X211" s="304"/>
      <c r="Y211" s="66">
        <v>208447.98</v>
      </c>
      <c r="Z211" s="304" t="s">
        <v>276</v>
      </c>
      <c r="AA211" s="91"/>
      <c r="AB211" s="90"/>
    </row>
    <row r="212" spans="1:28" ht="16.5" customHeight="1">
      <c r="A212" s="179">
        <f>A211+1</f>
        <v>121</v>
      </c>
      <c r="B212" s="303" t="s">
        <v>382</v>
      </c>
      <c r="C212" s="18">
        <f>D212+K212+M212+O212+Q212+S212+U212+V212+W212+X212</f>
        <v>1253683.72</v>
      </c>
      <c r="D212" s="17">
        <f>E212+F212+G212+H212+I212</f>
        <v>0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230">
        <f>391829.22+861854.5</f>
        <v>1253683.72</v>
      </c>
      <c r="X212" s="304"/>
      <c r="Y212" s="66">
        <f>391829.22+861854.5</f>
        <v>1253683.72</v>
      </c>
      <c r="Z212" s="304" t="s">
        <v>279</v>
      </c>
      <c r="AA212" s="91"/>
      <c r="AB212" s="90"/>
    </row>
    <row r="213" spans="1:30" ht="16.5" customHeight="1">
      <c r="A213" s="308" t="s">
        <v>64</v>
      </c>
      <c r="B213" s="308"/>
      <c r="C213" s="18">
        <f>SUM(C210:C212)</f>
        <v>1824451.69</v>
      </c>
      <c r="D213" s="18">
        <f aca="true" t="shared" si="57" ref="D213:V213">SUM(D210:D210)</f>
        <v>0</v>
      </c>
      <c r="E213" s="18">
        <f t="shared" si="57"/>
        <v>0</v>
      </c>
      <c r="F213" s="18">
        <f t="shared" si="57"/>
        <v>0</v>
      </c>
      <c r="G213" s="18">
        <f t="shared" si="57"/>
        <v>0</v>
      </c>
      <c r="H213" s="18">
        <f t="shared" si="57"/>
        <v>0</v>
      </c>
      <c r="I213" s="18">
        <f t="shared" si="57"/>
        <v>0</v>
      </c>
      <c r="J213" s="18">
        <f t="shared" si="57"/>
        <v>0</v>
      </c>
      <c r="K213" s="18">
        <f t="shared" si="57"/>
        <v>0</v>
      </c>
      <c r="L213" s="18">
        <f t="shared" si="57"/>
        <v>0</v>
      </c>
      <c r="M213" s="18">
        <f t="shared" si="57"/>
        <v>0</v>
      </c>
      <c r="N213" s="18">
        <f t="shared" si="57"/>
        <v>0</v>
      </c>
      <c r="O213" s="18">
        <f t="shared" si="57"/>
        <v>0</v>
      </c>
      <c r="P213" s="18">
        <f t="shared" si="57"/>
        <v>0</v>
      </c>
      <c r="Q213" s="18">
        <f t="shared" si="57"/>
        <v>0</v>
      </c>
      <c r="R213" s="18">
        <f t="shared" si="57"/>
        <v>0</v>
      </c>
      <c r="S213" s="18">
        <f t="shared" si="57"/>
        <v>0</v>
      </c>
      <c r="T213" s="18">
        <f t="shared" si="57"/>
        <v>0</v>
      </c>
      <c r="U213" s="18">
        <f t="shared" si="57"/>
        <v>0</v>
      </c>
      <c r="V213" s="18">
        <f t="shared" si="57"/>
        <v>0</v>
      </c>
      <c r="W213" s="18">
        <f>SUM(W210:W212)</f>
        <v>1824451.69</v>
      </c>
      <c r="X213" s="306">
        <f>C213-W213</f>
        <v>0</v>
      </c>
      <c r="Y213" s="306"/>
      <c r="Z213" s="306"/>
      <c r="AA213" s="91">
        <f>E213+F213+G213+H213+I213+K213+M213+O213+Q213+S213+U213+W213+V213+X213</f>
        <v>1824451.69</v>
      </c>
      <c r="AB213" s="90">
        <f>AA213-C213</f>
        <v>0</v>
      </c>
      <c r="AC213" s="90"/>
      <c r="AD213" s="90"/>
    </row>
    <row r="214" spans="1:31" s="13" customFormat="1" ht="16.5" customHeight="1">
      <c r="A214" s="307" t="s">
        <v>83</v>
      </c>
      <c r="B214" s="307"/>
      <c r="C214" s="225">
        <f>C202+C208+C213+C199+C186</f>
        <v>7094859.460000001</v>
      </c>
      <c r="D214" s="225">
        <f aca="true" t="shared" si="58" ref="D214:Y214">D202+D208+D213+D199+D186</f>
        <v>0</v>
      </c>
      <c r="E214" s="225">
        <f t="shared" si="58"/>
        <v>0</v>
      </c>
      <c r="F214" s="225">
        <f t="shared" si="58"/>
        <v>0</v>
      </c>
      <c r="G214" s="225">
        <f t="shared" si="58"/>
        <v>0</v>
      </c>
      <c r="H214" s="225">
        <f t="shared" si="58"/>
        <v>0</v>
      </c>
      <c r="I214" s="225">
        <f t="shared" si="58"/>
        <v>0</v>
      </c>
      <c r="J214" s="225">
        <f t="shared" si="58"/>
        <v>0</v>
      </c>
      <c r="K214" s="225">
        <f t="shared" si="58"/>
        <v>0</v>
      </c>
      <c r="L214" s="225">
        <f t="shared" si="58"/>
        <v>0</v>
      </c>
      <c r="M214" s="225">
        <f t="shared" si="58"/>
        <v>0</v>
      </c>
      <c r="N214" s="225">
        <f t="shared" si="58"/>
        <v>0</v>
      </c>
      <c r="O214" s="225">
        <f t="shared" si="58"/>
        <v>0</v>
      </c>
      <c r="P214" s="225">
        <f t="shared" si="58"/>
        <v>0</v>
      </c>
      <c r="Q214" s="225">
        <f t="shared" si="58"/>
        <v>0</v>
      </c>
      <c r="R214" s="225">
        <f t="shared" si="58"/>
        <v>0</v>
      </c>
      <c r="S214" s="225">
        <f t="shared" si="58"/>
        <v>0</v>
      </c>
      <c r="T214" s="225">
        <f t="shared" si="58"/>
        <v>0</v>
      </c>
      <c r="U214" s="225">
        <f t="shared" si="58"/>
        <v>0</v>
      </c>
      <c r="V214" s="225">
        <f t="shared" si="58"/>
        <v>0</v>
      </c>
      <c r="W214" s="225">
        <f t="shared" si="58"/>
        <v>7094859.460000001</v>
      </c>
      <c r="X214" s="298">
        <f>X202+X208+X213+X199+X186</f>
        <v>0</v>
      </c>
      <c r="Y214" s="298">
        <f t="shared" si="58"/>
        <v>116386.49</v>
      </c>
      <c r="Z214" s="298"/>
      <c r="AA214" s="91"/>
      <c r="AB214" s="90"/>
      <c r="AC214" s="12"/>
      <c r="AD214" s="12"/>
      <c r="AE214" s="89"/>
    </row>
    <row r="215" spans="1:28" ht="15" customHeight="1">
      <c r="A215" s="334" t="s">
        <v>84</v>
      </c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34"/>
      <c r="Y215" s="298"/>
      <c r="Z215" s="298"/>
      <c r="AA215" s="91"/>
      <c r="AB215" s="90"/>
    </row>
    <row r="216" spans="1:28" ht="15" customHeight="1">
      <c r="A216" s="350" t="s">
        <v>141</v>
      </c>
      <c r="B216" s="350"/>
      <c r="C216" s="350"/>
      <c r="D216" s="309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  <c r="X216" s="309"/>
      <c r="Y216" s="292"/>
      <c r="Z216" s="292"/>
      <c r="AA216" s="89"/>
      <c r="AB216" s="90"/>
    </row>
    <row r="217" spans="1:28" ht="15" customHeight="1">
      <c r="A217" s="179">
        <f>A212+1</f>
        <v>122</v>
      </c>
      <c r="B217" s="85" t="s">
        <v>383</v>
      </c>
      <c r="C217" s="18">
        <f>D217+K217+M217+O217+Q217+S217+U217+V217+W217+X217</f>
        <v>1032346</v>
      </c>
      <c r="D217" s="17">
        <f>E217+F217+G217+H217+I217</f>
        <v>0</v>
      </c>
      <c r="E217" s="19"/>
      <c r="F217" s="19"/>
      <c r="G217" s="19"/>
      <c r="H217" s="19"/>
      <c r="I217" s="19"/>
      <c r="J217" s="19"/>
      <c r="K217" s="19"/>
      <c r="L217" s="305">
        <v>770</v>
      </c>
      <c r="M217" s="305">
        <v>1032346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8"/>
      <c r="X217" s="306"/>
      <c r="Y217" s="216">
        <v>289047.81</v>
      </c>
      <c r="Z217" s="304" t="s">
        <v>276</v>
      </c>
      <c r="AA217" s="91"/>
      <c r="AB217" s="90"/>
    </row>
    <row r="218" spans="1:28" ht="15" customHeight="1">
      <c r="A218" s="308" t="s">
        <v>64</v>
      </c>
      <c r="B218" s="308"/>
      <c r="C218" s="19">
        <f>SUM(C217:C217)</f>
        <v>1032346</v>
      </c>
      <c r="D218" s="19">
        <f aca="true" t="shared" si="59" ref="D218:W218">SUM(D217:D217)</f>
        <v>0</v>
      </c>
      <c r="E218" s="19">
        <f t="shared" si="59"/>
        <v>0</v>
      </c>
      <c r="F218" s="19">
        <f t="shared" si="59"/>
        <v>0</v>
      </c>
      <c r="G218" s="19">
        <f t="shared" si="59"/>
        <v>0</v>
      </c>
      <c r="H218" s="19">
        <f t="shared" si="59"/>
        <v>0</v>
      </c>
      <c r="I218" s="19">
        <f t="shared" si="59"/>
        <v>0</v>
      </c>
      <c r="J218" s="19">
        <f t="shared" si="59"/>
        <v>0</v>
      </c>
      <c r="K218" s="19">
        <f t="shared" si="59"/>
        <v>0</v>
      </c>
      <c r="L218" s="19">
        <f t="shared" si="59"/>
        <v>770</v>
      </c>
      <c r="M218" s="19">
        <f t="shared" si="59"/>
        <v>1032346</v>
      </c>
      <c r="N218" s="19">
        <f t="shared" si="59"/>
        <v>0</v>
      </c>
      <c r="O218" s="19">
        <f t="shared" si="59"/>
        <v>0</v>
      </c>
      <c r="P218" s="19">
        <f t="shared" si="59"/>
        <v>0</v>
      </c>
      <c r="Q218" s="19">
        <f t="shared" si="59"/>
        <v>0</v>
      </c>
      <c r="R218" s="19">
        <f t="shared" si="59"/>
        <v>0</v>
      </c>
      <c r="S218" s="19">
        <f t="shared" si="59"/>
        <v>0</v>
      </c>
      <c r="T218" s="19">
        <f t="shared" si="59"/>
        <v>0</v>
      </c>
      <c r="U218" s="19">
        <f t="shared" si="59"/>
        <v>0</v>
      </c>
      <c r="V218" s="19">
        <f t="shared" si="59"/>
        <v>0</v>
      </c>
      <c r="W218" s="19">
        <f t="shared" si="59"/>
        <v>0</v>
      </c>
      <c r="X218" s="306"/>
      <c r="Y218" s="304"/>
      <c r="Z218" s="304"/>
      <c r="AA218" s="91">
        <f>E218+F218+G218+H218+I218+K218+M218+O218+Q218+S218+U218+W218+V218+X218</f>
        <v>1032346</v>
      </c>
      <c r="AB218" s="90">
        <f>AA218-C218</f>
        <v>0</v>
      </c>
    </row>
    <row r="219" spans="1:30" ht="18" customHeight="1">
      <c r="A219" s="307" t="s">
        <v>123</v>
      </c>
      <c r="B219" s="307"/>
      <c r="C219" s="307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09"/>
      <c r="S219" s="309"/>
      <c r="T219" s="309"/>
      <c r="U219" s="309"/>
      <c r="V219" s="309"/>
      <c r="W219" s="309"/>
      <c r="X219" s="309"/>
      <c r="Y219" s="292"/>
      <c r="Z219" s="304"/>
      <c r="AA219" s="91"/>
      <c r="AB219" s="90"/>
      <c r="AC219" s="90"/>
      <c r="AD219" s="90"/>
    </row>
    <row r="220" spans="1:30" ht="15.75" customHeight="1">
      <c r="A220" s="92">
        <f>A217+1</f>
        <v>123</v>
      </c>
      <c r="B220" s="102" t="s">
        <v>384</v>
      </c>
      <c r="C220" s="244">
        <f>D220+K220+M220+O220+Q220+S220+U220+V220+W220+X220</f>
        <v>172707.74</v>
      </c>
      <c r="D220" s="17">
        <f>E220+F220+G220+H220+I220</f>
        <v>0</v>
      </c>
      <c r="E220" s="19"/>
      <c r="F220" s="17"/>
      <c r="G220" s="17"/>
      <c r="H220" s="17"/>
      <c r="I220" s="17"/>
      <c r="J220" s="17"/>
      <c r="K220" s="17"/>
      <c r="L220" s="253"/>
      <c r="M220" s="253"/>
      <c r="N220" s="240"/>
      <c r="O220" s="17"/>
      <c r="P220" s="17"/>
      <c r="Q220" s="17"/>
      <c r="R220" s="17"/>
      <c r="S220" s="17"/>
      <c r="T220" s="17"/>
      <c r="U220" s="17"/>
      <c r="V220" s="17"/>
      <c r="W220" s="17">
        <f>Y220</f>
        <v>172707.74</v>
      </c>
      <c r="X220" s="292"/>
      <c r="Y220" s="66">
        <v>172707.74</v>
      </c>
      <c r="Z220" s="304" t="s">
        <v>276</v>
      </c>
      <c r="AA220" s="91"/>
      <c r="AB220" s="90"/>
      <c r="AC220" s="90"/>
      <c r="AD220" s="90"/>
    </row>
    <row r="221" spans="1:30" ht="15" customHeight="1">
      <c r="A221" s="308" t="s">
        <v>64</v>
      </c>
      <c r="B221" s="346"/>
      <c r="C221" s="19">
        <f aca="true" t="shared" si="60" ref="C221:X221">SUM(C220:C220)</f>
        <v>172707.74</v>
      </c>
      <c r="D221" s="19">
        <f t="shared" si="60"/>
        <v>0</v>
      </c>
      <c r="E221" s="19">
        <f t="shared" si="60"/>
        <v>0</v>
      </c>
      <c r="F221" s="19">
        <f t="shared" si="60"/>
        <v>0</v>
      </c>
      <c r="G221" s="19">
        <f t="shared" si="60"/>
        <v>0</v>
      </c>
      <c r="H221" s="19">
        <f t="shared" si="60"/>
        <v>0</v>
      </c>
      <c r="I221" s="19">
        <f t="shared" si="60"/>
        <v>0</v>
      </c>
      <c r="J221" s="19">
        <f t="shared" si="60"/>
        <v>0</v>
      </c>
      <c r="K221" s="19">
        <f t="shared" si="60"/>
        <v>0</v>
      </c>
      <c r="L221" s="19">
        <f t="shared" si="60"/>
        <v>0</v>
      </c>
      <c r="M221" s="19">
        <f t="shared" si="60"/>
        <v>0</v>
      </c>
      <c r="N221" s="297">
        <f t="shared" si="60"/>
        <v>0</v>
      </c>
      <c r="O221" s="19">
        <f t="shared" si="60"/>
        <v>0</v>
      </c>
      <c r="P221" s="19">
        <f t="shared" si="60"/>
        <v>0</v>
      </c>
      <c r="Q221" s="19">
        <f t="shared" si="60"/>
        <v>0</v>
      </c>
      <c r="R221" s="19">
        <f t="shared" si="60"/>
        <v>0</v>
      </c>
      <c r="S221" s="19">
        <f t="shared" si="60"/>
        <v>0</v>
      </c>
      <c r="T221" s="19">
        <f t="shared" si="60"/>
        <v>0</v>
      </c>
      <c r="U221" s="19">
        <f t="shared" si="60"/>
        <v>0</v>
      </c>
      <c r="V221" s="19">
        <f t="shared" si="60"/>
        <v>0</v>
      </c>
      <c r="W221" s="19">
        <f t="shared" si="60"/>
        <v>172707.74</v>
      </c>
      <c r="X221" s="304">
        <f t="shared" si="60"/>
        <v>0</v>
      </c>
      <c r="Y221" s="304"/>
      <c r="Z221" s="304"/>
      <c r="AA221" s="91">
        <f>E221+F221+G221+H221+I221+K221+M221+O221+Q221+S221+U221+W221+V221+X221</f>
        <v>172707.74</v>
      </c>
      <c r="AB221" s="90">
        <f>AA221-C221</f>
        <v>0</v>
      </c>
      <c r="AC221" s="90"/>
      <c r="AD221" s="90"/>
    </row>
    <row r="222" spans="1:28" ht="15" customHeight="1">
      <c r="A222" s="307" t="s">
        <v>95</v>
      </c>
      <c r="B222" s="307"/>
      <c r="C222" s="307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  <c r="X222" s="309"/>
      <c r="Y222" s="292"/>
      <c r="Z222" s="304"/>
      <c r="AA222" s="91"/>
      <c r="AB222" s="90"/>
    </row>
    <row r="223" spans="1:28" ht="15" customHeight="1">
      <c r="A223" s="92">
        <f>A220+1</f>
        <v>124</v>
      </c>
      <c r="B223" s="212" t="s">
        <v>132</v>
      </c>
      <c r="C223" s="18">
        <f>D223+K223+M223+O223+Q223+S223+U223+V223+W223+X223</f>
        <v>113889.09</v>
      </c>
      <c r="D223" s="17">
        <f>E223+F223+G223+H223+I223</f>
        <v>0</v>
      </c>
      <c r="E223" s="17"/>
      <c r="F223" s="17"/>
      <c r="G223" s="17"/>
      <c r="H223" s="17"/>
      <c r="I223" s="17"/>
      <c r="J223" s="17"/>
      <c r="K223" s="17"/>
      <c r="L223" s="214"/>
      <c r="M223" s="19"/>
      <c r="N223" s="17"/>
      <c r="O223" s="17"/>
      <c r="P223" s="17"/>
      <c r="Q223" s="17"/>
      <c r="R223" s="17"/>
      <c r="S223" s="17"/>
      <c r="T223" s="17"/>
      <c r="U223" s="17"/>
      <c r="V223" s="17"/>
      <c r="W223" s="17">
        <f>Y223</f>
        <v>113889.09</v>
      </c>
      <c r="X223" s="292"/>
      <c r="Y223" s="66">
        <v>113889.09</v>
      </c>
      <c r="Z223" s="304" t="s">
        <v>276</v>
      </c>
      <c r="AA223" s="91"/>
      <c r="AB223" s="90"/>
    </row>
    <row r="224" spans="1:30" ht="15" customHeight="1">
      <c r="A224" s="308" t="s">
        <v>64</v>
      </c>
      <c r="B224" s="308"/>
      <c r="C224" s="19">
        <f aca="true" t="shared" si="61" ref="C224:X224">SUM(C223:C223)</f>
        <v>113889.09</v>
      </c>
      <c r="D224" s="19">
        <f t="shared" si="61"/>
        <v>0</v>
      </c>
      <c r="E224" s="19">
        <f t="shared" si="61"/>
        <v>0</v>
      </c>
      <c r="F224" s="19">
        <f t="shared" si="61"/>
        <v>0</v>
      </c>
      <c r="G224" s="19">
        <f t="shared" si="61"/>
        <v>0</v>
      </c>
      <c r="H224" s="19">
        <f t="shared" si="61"/>
        <v>0</v>
      </c>
      <c r="I224" s="19">
        <f t="shared" si="61"/>
        <v>0</v>
      </c>
      <c r="J224" s="19">
        <f t="shared" si="61"/>
        <v>0</v>
      </c>
      <c r="K224" s="19">
        <f t="shared" si="61"/>
        <v>0</v>
      </c>
      <c r="L224" s="19">
        <f t="shared" si="61"/>
        <v>0</v>
      </c>
      <c r="M224" s="19">
        <f t="shared" si="61"/>
        <v>0</v>
      </c>
      <c r="N224" s="19">
        <f t="shared" si="61"/>
        <v>0</v>
      </c>
      <c r="O224" s="19">
        <f t="shared" si="61"/>
        <v>0</v>
      </c>
      <c r="P224" s="19">
        <f t="shared" si="61"/>
        <v>0</v>
      </c>
      <c r="Q224" s="19">
        <f t="shared" si="61"/>
        <v>0</v>
      </c>
      <c r="R224" s="19">
        <f t="shared" si="61"/>
        <v>0</v>
      </c>
      <c r="S224" s="19">
        <f t="shared" si="61"/>
        <v>0</v>
      </c>
      <c r="T224" s="19">
        <f t="shared" si="61"/>
        <v>0</v>
      </c>
      <c r="U224" s="19">
        <f t="shared" si="61"/>
        <v>0</v>
      </c>
      <c r="V224" s="19">
        <f t="shared" si="61"/>
        <v>0</v>
      </c>
      <c r="W224" s="19">
        <f t="shared" si="61"/>
        <v>113889.09</v>
      </c>
      <c r="X224" s="304">
        <f t="shared" si="61"/>
        <v>0</v>
      </c>
      <c r="Y224" s="304"/>
      <c r="Z224" s="304"/>
      <c r="AA224" s="91">
        <f>E224+F224+G224+H224+I224+K224+M224+O224+Q224+S224+U224+W224+V224+X224</f>
        <v>113889.09</v>
      </c>
      <c r="AB224" s="90">
        <f>AA224-C224</f>
        <v>0</v>
      </c>
      <c r="AC224" s="90"/>
      <c r="AD224" s="90"/>
    </row>
    <row r="225" spans="1:30" ht="15" customHeight="1">
      <c r="A225" s="307" t="s">
        <v>85</v>
      </c>
      <c r="B225" s="307"/>
      <c r="C225" s="17">
        <f>C218+C221+C224</f>
        <v>1318942.83</v>
      </c>
      <c r="D225" s="17">
        <f aca="true" t="shared" si="62" ref="D225:K225">D218+D221+D224</f>
        <v>0</v>
      </c>
      <c r="E225" s="17">
        <f t="shared" si="62"/>
        <v>0</v>
      </c>
      <c r="F225" s="17">
        <f t="shared" si="62"/>
        <v>0</v>
      </c>
      <c r="G225" s="17">
        <f t="shared" si="62"/>
        <v>0</v>
      </c>
      <c r="H225" s="17">
        <f t="shared" si="62"/>
        <v>0</v>
      </c>
      <c r="I225" s="17">
        <f t="shared" si="62"/>
        <v>0</v>
      </c>
      <c r="J225" s="17">
        <f t="shared" si="62"/>
        <v>0</v>
      </c>
      <c r="K225" s="17">
        <f t="shared" si="62"/>
        <v>0</v>
      </c>
      <c r="L225" s="17">
        <f aca="true" t="shared" si="63" ref="L225:AA225">L218+L221+L224</f>
        <v>770</v>
      </c>
      <c r="M225" s="17">
        <f t="shared" si="63"/>
        <v>1032346</v>
      </c>
      <c r="N225" s="17">
        <f t="shared" si="63"/>
        <v>0</v>
      </c>
      <c r="O225" s="17">
        <f t="shared" si="63"/>
        <v>0</v>
      </c>
      <c r="P225" s="17">
        <f t="shared" si="63"/>
        <v>0</v>
      </c>
      <c r="Q225" s="17">
        <f t="shared" si="63"/>
        <v>0</v>
      </c>
      <c r="R225" s="17">
        <f t="shared" si="63"/>
        <v>0</v>
      </c>
      <c r="S225" s="17">
        <f t="shared" si="63"/>
        <v>0</v>
      </c>
      <c r="T225" s="17">
        <f t="shared" si="63"/>
        <v>0</v>
      </c>
      <c r="U225" s="17">
        <f t="shared" si="63"/>
        <v>0</v>
      </c>
      <c r="V225" s="17">
        <f t="shared" si="63"/>
        <v>0</v>
      </c>
      <c r="W225" s="17">
        <f t="shared" si="63"/>
        <v>286596.82999999996</v>
      </c>
      <c r="X225" s="306"/>
      <c r="Y225" s="292"/>
      <c r="Z225" s="292"/>
      <c r="AA225" s="301">
        <f t="shared" si="63"/>
        <v>1318942.83</v>
      </c>
      <c r="AB225" s="90"/>
      <c r="AC225" s="90"/>
      <c r="AD225" s="90"/>
    </row>
    <row r="226" spans="1:30" ht="15" customHeight="1">
      <c r="A226" s="335" t="s">
        <v>331</v>
      </c>
      <c r="B226" s="336"/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7"/>
      <c r="AA226" s="114"/>
      <c r="AB226" s="90"/>
      <c r="AC226" s="90"/>
      <c r="AD226" s="90"/>
    </row>
    <row r="227" spans="1:30" ht="15" customHeight="1">
      <c r="A227" s="341" t="s">
        <v>332</v>
      </c>
      <c r="B227" s="345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306"/>
      <c r="Y227" s="292"/>
      <c r="Z227" s="292"/>
      <c r="AA227" s="114"/>
      <c r="AB227" s="90"/>
      <c r="AC227" s="90"/>
      <c r="AD227" s="90"/>
    </row>
    <row r="228" spans="1:30" ht="15" customHeight="1">
      <c r="A228" s="92">
        <f>A223+1</f>
        <v>125</v>
      </c>
      <c r="B228" s="291" t="s">
        <v>333</v>
      </c>
      <c r="C228" s="18">
        <f>D228+K228+M228+O228+Q228+S228+U228+V228+W228+X228</f>
        <v>310605.19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231">
        <v>310605.19</v>
      </c>
      <c r="X228" s="306"/>
      <c r="Y228" s="304"/>
      <c r="Z228" s="304" t="s">
        <v>97</v>
      </c>
      <c r="AA228" s="114"/>
      <c r="AB228" s="90"/>
      <c r="AC228" s="90"/>
      <c r="AD228" s="90"/>
    </row>
    <row r="229" spans="1:30" ht="15" customHeight="1">
      <c r="A229" s="308" t="s">
        <v>64</v>
      </c>
      <c r="B229" s="346"/>
      <c r="C229" s="19">
        <f>C228</f>
        <v>310605.19</v>
      </c>
      <c r="D229" s="19">
        <f aca="true" t="shared" si="64" ref="D229:X230">D228</f>
        <v>0</v>
      </c>
      <c r="E229" s="19">
        <f t="shared" si="64"/>
        <v>0</v>
      </c>
      <c r="F229" s="19">
        <f t="shared" si="64"/>
        <v>0</v>
      </c>
      <c r="G229" s="19">
        <f t="shared" si="64"/>
        <v>0</v>
      </c>
      <c r="H229" s="19">
        <f t="shared" si="64"/>
        <v>0</v>
      </c>
      <c r="I229" s="19">
        <f t="shared" si="64"/>
        <v>0</v>
      </c>
      <c r="J229" s="19">
        <f t="shared" si="64"/>
        <v>0</v>
      </c>
      <c r="K229" s="19">
        <f t="shared" si="64"/>
        <v>0</v>
      </c>
      <c r="L229" s="19">
        <f t="shared" si="64"/>
        <v>0</v>
      </c>
      <c r="M229" s="19">
        <f t="shared" si="64"/>
        <v>0</v>
      </c>
      <c r="N229" s="19">
        <f t="shared" si="64"/>
        <v>0</v>
      </c>
      <c r="O229" s="19">
        <f t="shared" si="64"/>
        <v>0</v>
      </c>
      <c r="P229" s="19">
        <f t="shared" si="64"/>
        <v>0</v>
      </c>
      <c r="Q229" s="19">
        <f t="shared" si="64"/>
        <v>0</v>
      </c>
      <c r="R229" s="19">
        <f t="shared" si="64"/>
        <v>0</v>
      </c>
      <c r="S229" s="19">
        <f t="shared" si="64"/>
        <v>0</v>
      </c>
      <c r="T229" s="19">
        <f t="shared" si="64"/>
        <v>0</v>
      </c>
      <c r="U229" s="19">
        <f t="shared" si="64"/>
        <v>0</v>
      </c>
      <c r="V229" s="19">
        <f t="shared" si="64"/>
        <v>0</v>
      </c>
      <c r="W229" s="19">
        <f t="shared" si="64"/>
        <v>310605.19</v>
      </c>
      <c r="X229" s="304">
        <f t="shared" si="64"/>
        <v>0</v>
      </c>
      <c r="Y229" s="304"/>
      <c r="Z229" s="304"/>
      <c r="AA229" s="116"/>
      <c r="AB229" s="90"/>
      <c r="AC229" s="90"/>
      <c r="AD229" s="90"/>
    </row>
    <row r="230" spans="1:30" ht="15" customHeight="1">
      <c r="A230" s="341" t="s">
        <v>334</v>
      </c>
      <c r="B230" s="345"/>
      <c r="C230" s="17">
        <f>C229</f>
        <v>310605.19</v>
      </c>
      <c r="D230" s="17">
        <f t="shared" si="64"/>
        <v>0</v>
      </c>
      <c r="E230" s="17">
        <f t="shared" si="64"/>
        <v>0</v>
      </c>
      <c r="F230" s="17">
        <f t="shared" si="64"/>
        <v>0</v>
      </c>
      <c r="G230" s="17">
        <f t="shared" si="64"/>
        <v>0</v>
      </c>
      <c r="H230" s="17">
        <f t="shared" si="64"/>
        <v>0</v>
      </c>
      <c r="I230" s="17">
        <f t="shared" si="64"/>
        <v>0</v>
      </c>
      <c r="J230" s="17">
        <f t="shared" si="64"/>
        <v>0</v>
      </c>
      <c r="K230" s="17">
        <f t="shared" si="64"/>
        <v>0</v>
      </c>
      <c r="L230" s="17">
        <f t="shared" si="64"/>
        <v>0</v>
      </c>
      <c r="M230" s="17">
        <f t="shared" si="64"/>
        <v>0</v>
      </c>
      <c r="N230" s="17">
        <f t="shared" si="64"/>
        <v>0</v>
      </c>
      <c r="O230" s="17">
        <f t="shared" si="64"/>
        <v>0</v>
      </c>
      <c r="P230" s="17">
        <f t="shared" si="64"/>
        <v>0</v>
      </c>
      <c r="Q230" s="17">
        <f t="shared" si="64"/>
        <v>0</v>
      </c>
      <c r="R230" s="17">
        <f t="shared" si="64"/>
        <v>0</v>
      </c>
      <c r="S230" s="17">
        <f t="shared" si="64"/>
        <v>0</v>
      </c>
      <c r="T230" s="17">
        <f t="shared" si="64"/>
        <v>0</v>
      </c>
      <c r="U230" s="17">
        <f t="shared" si="64"/>
        <v>0</v>
      </c>
      <c r="V230" s="17">
        <f t="shared" si="64"/>
        <v>0</v>
      </c>
      <c r="W230" s="17">
        <f t="shared" si="64"/>
        <v>310605.19</v>
      </c>
      <c r="X230" s="292">
        <f>X229</f>
        <v>0</v>
      </c>
      <c r="Y230" s="292"/>
      <c r="Z230" s="292"/>
      <c r="AA230" s="114"/>
      <c r="AB230" s="90"/>
      <c r="AC230" s="90"/>
      <c r="AD230" s="90"/>
    </row>
    <row r="231" spans="1:28" ht="12.75" customHeight="1">
      <c r="A231" s="352" t="s">
        <v>368</v>
      </c>
      <c r="B231" s="352"/>
      <c r="C231" s="352"/>
      <c r="D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352"/>
      <c r="S231" s="352"/>
      <c r="T231" s="352"/>
      <c r="U231" s="352"/>
      <c r="V231" s="352"/>
      <c r="W231" s="352"/>
      <c r="X231" s="352"/>
      <c r="Y231" s="302"/>
      <c r="Z231" s="302"/>
      <c r="AA231" s="91"/>
      <c r="AB231" s="90"/>
    </row>
    <row r="232" spans="1:28" ht="12.75" customHeight="1">
      <c r="A232" s="92">
        <f>A228+1</f>
        <v>126</v>
      </c>
      <c r="B232" s="59" t="s">
        <v>385</v>
      </c>
      <c r="C232" s="18">
        <f>D232+K232+M232+O232+Q232+S232+U232+V232+W232+X232</f>
        <v>507701.51</v>
      </c>
      <c r="D232" s="19">
        <f>E232+F232+G232+H232+I232</f>
        <v>0</v>
      </c>
      <c r="E232" s="18"/>
      <c r="F232" s="254"/>
      <c r="G232" s="255"/>
      <c r="H232" s="254"/>
      <c r="I232" s="254"/>
      <c r="J232" s="256"/>
      <c r="K232" s="256"/>
      <c r="L232" s="257"/>
      <c r="M232" s="18"/>
      <c r="N232" s="255"/>
      <c r="O232" s="255"/>
      <c r="P232" s="255"/>
      <c r="Q232" s="255"/>
      <c r="R232" s="255"/>
      <c r="S232" s="255"/>
      <c r="T232" s="255"/>
      <c r="U232" s="255"/>
      <c r="V232" s="255"/>
      <c r="W232" s="19">
        <f>Y232</f>
        <v>507701.51</v>
      </c>
      <c r="X232" s="304"/>
      <c r="Y232" s="304">
        <v>507701.51</v>
      </c>
      <c r="Z232" s="304" t="s">
        <v>341</v>
      </c>
      <c r="AA232" s="91" t="s">
        <v>97</v>
      </c>
      <c r="AB232" s="90"/>
    </row>
    <row r="233" spans="1:30" ht="12.75" customHeight="1">
      <c r="A233" s="351" t="s">
        <v>64</v>
      </c>
      <c r="B233" s="351"/>
      <c r="C233" s="232">
        <f aca="true" t="shared" si="65" ref="C233:W233">SUM(C232:C232)</f>
        <v>507701.51</v>
      </c>
      <c r="D233" s="232">
        <f t="shared" si="65"/>
        <v>0</v>
      </c>
      <c r="E233" s="232">
        <f t="shared" si="65"/>
        <v>0</v>
      </c>
      <c r="F233" s="232">
        <f t="shared" si="65"/>
        <v>0</v>
      </c>
      <c r="G233" s="232">
        <f t="shared" si="65"/>
        <v>0</v>
      </c>
      <c r="H233" s="232">
        <f t="shared" si="65"/>
        <v>0</v>
      </c>
      <c r="I233" s="232">
        <f t="shared" si="65"/>
        <v>0</v>
      </c>
      <c r="J233" s="232">
        <f t="shared" si="65"/>
        <v>0</v>
      </c>
      <c r="K233" s="232">
        <f t="shared" si="65"/>
        <v>0</v>
      </c>
      <c r="L233" s="232">
        <f t="shared" si="65"/>
        <v>0</v>
      </c>
      <c r="M233" s="232">
        <f t="shared" si="65"/>
        <v>0</v>
      </c>
      <c r="N233" s="232">
        <f t="shared" si="65"/>
        <v>0</v>
      </c>
      <c r="O233" s="232">
        <f t="shared" si="65"/>
        <v>0</v>
      </c>
      <c r="P233" s="232">
        <f t="shared" si="65"/>
        <v>0</v>
      </c>
      <c r="Q233" s="232">
        <f t="shared" si="65"/>
        <v>0</v>
      </c>
      <c r="R233" s="232">
        <f t="shared" si="65"/>
        <v>0</v>
      </c>
      <c r="S233" s="232">
        <f t="shared" si="65"/>
        <v>0</v>
      </c>
      <c r="T233" s="232">
        <f t="shared" si="65"/>
        <v>0</v>
      </c>
      <c r="U233" s="232">
        <f t="shared" si="65"/>
        <v>0</v>
      </c>
      <c r="V233" s="232">
        <f t="shared" si="65"/>
        <v>0</v>
      </c>
      <c r="W233" s="232">
        <f t="shared" si="65"/>
        <v>507701.51</v>
      </c>
      <c r="X233" s="306">
        <f>C233-W233</f>
        <v>0</v>
      </c>
      <c r="Y233" s="302"/>
      <c r="Z233" s="302"/>
      <c r="AA233" s="91">
        <f>E233+F233+G233+H233+I233+K233+M233+O233+Q233+S233+U233+W233+V233+X233</f>
        <v>507701.51</v>
      </c>
      <c r="AB233" s="90">
        <f>AA233-C233</f>
        <v>0</v>
      </c>
      <c r="AC233" s="90"/>
      <c r="AD233" s="90"/>
    </row>
    <row r="234" spans="1:30" ht="12.75" customHeight="1">
      <c r="A234" s="334" t="s">
        <v>86</v>
      </c>
      <c r="B234" s="334"/>
      <c r="C234" s="334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34"/>
      <c r="X234" s="334"/>
      <c r="Y234" s="298"/>
      <c r="Z234" s="298"/>
      <c r="AA234" s="91"/>
      <c r="AB234" s="90"/>
      <c r="AC234" s="10"/>
      <c r="AD234" s="10"/>
    </row>
    <row r="235" spans="1:30" ht="12.75" customHeight="1">
      <c r="A235" s="307" t="s">
        <v>87</v>
      </c>
      <c r="B235" s="307"/>
      <c r="C235" s="307"/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292"/>
      <c r="Z235" s="292"/>
      <c r="AA235" s="91"/>
      <c r="AB235" s="90"/>
      <c r="AC235" s="10"/>
      <c r="AD235" s="10"/>
    </row>
    <row r="236" spans="1:30" ht="12.75" customHeight="1">
      <c r="A236" s="179">
        <f>A232+1</f>
        <v>127</v>
      </c>
      <c r="B236" s="60" t="s">
        <v>346</v>
      </c>
      <c r="C236" s="18">
        <f>D236+K236+M236+O236+Q236+S236+U236+V236+W236+X236</f>
        <v>352985.31</v>
      </c>
      <c r="D236" s="17">
        <f>E236+F236+G236+H236+I236</f>
        <v>0</v>
      </c>
      <c r="E236" s="17"/>
      <c r="F236" s="17"/>
      <c r="G236" s="17"/>
      <c r="H236" s="17"/>
      <c r="I236" s="17"/>
      <c r="J236" s="17"/>
      <c r="K236" s="17"/>
      <c r="L236" s="258"/>
      <c r="M236" s="258"/>
      <c r="N236" s="19"/>
      <c r="O236" s="19"/>
      <c r="P236" s="19"/>
      <c r="Q236" s="19"/>
      <c r="R236" s="17"/>
      <c r="S236" s="17"/>
      <c r="T236" s="17"/>
      <c r="U236" s="17"/>
      <c r="V236" s="18"/>
      <c r="W236" s="18">
        <f>Y236</f>
        <v>352985.31</v>
      </c>
      <c r="X236" s="306"/>
      <c r="Y236" s="216">
        <v>352985.31</v>
      </c>
      <c r="Z236" s="304" t="s">
        <v>276</v>
      </c>
      <c r="AA236" s="91"/>
      <c r="AB236" s="90"/>
      <c r="AC236" s="10"/>
      <c r="AD236" s="10"/>
    </row>
    <row r="237" spans="1:30" ht="12.75" customHeight="1">
      <c r="A237" s="179">
        <f>A236+1</f>
        <v>128</v>
      </c>
      <c r="B237" s="61" t="s">
        <v>347</v>
      </c>
      <c r="C237" s="18">
        <f>D237+K237+M237+O237+Q237+S237+U237+V237+W237+X237</f>
        <v>352985.31</v>
      </c>
      <c r="D237" s="17">
        <f>E237+F237+G237+H237+I237</f>
        <v>0</v>
      </c>
      <c r="E237" s="17"/>
      <c r="F237" s="17"/>
      <c r="G237" s="17"/>
      <c r="H237" s="17"/>
      <c r="I237" s="17"/>
      <c r="J237" s="17"/>
      <c r="K237" s="17"/>
      <c r="L237" s="258"/>
      <c r="M237" s="259"/>
      <c r="N237" s="19"/>
      <c r="O237" s="19"/>
      <c r="P237" s="19"/>
      <c r="Q237" s="19"/>
      <c r="R237" s="17"/>
      <c r="S237" s="17"/>
      <c r="T237" s="17"/>
      <c r="U237" s="17"/>
      <c r="V237" s="18"/>
      <c r="W237" s="18">
        <f>Y237</f>
        <v>352985.31</v>
      </c>
      <c r="X237" s="306"/>
      <c r="Y237" s="216">
        <v>352985.31</v>
      </c>
      <c r="Z237" s="304" t="s">
        <v>276</v>
      </c>
      <c r="AA237" s="91"/>
      <c r="AB237" s="90"/>
      <c r="AC237" s="10"/>
      <c r="AD237" s="10"/>
    </row>
    <row r="238" spans="1:30" ht="12.75" customHeight="1">
      <c r="A238" s="179">
        <f>A237+1</f>
        <v>129</v>
      </c>
      <c r="B238" s="47" t="s">
        <v>348</v>
      </c>
      <c r="C238" s="18">
        <f>D238+K238+M238+O238+Q238+S238+U238+V238+W238+X238</f>
        <v>189962.48</v>
      </c>
      <c r="D238" s="17">
        <f>E238+F238+G238+H238+I238</f>
        <v>0</v>
      </c>
      <c r="E238" s="17"/>
      <c r="F238" s="17"/>
      <c r="G238" s="17"/>
      <c r="H238" s="17"/>
      <c r="I238" s="17"/>
      <c r="J238" s="17"/>
      <c r="K238" s="17"/>
      <c r="L238" s="260"/>
      <c r="M238" s="261"/>
      <c r="N238" s="19"/>
      <c r="O238" s="19"/>
      <c r="P238" s="19"/>
      <c r="Q238" s="19"/>
      <c r="R238" s="17"/>
      <c r="S238" s="17"/>
      <c r="T238" s="17"/>
      <c r="U238" s="17"/>
      <c r="V238" s="18"/>
      <c r="W238" s="18">
        <f>Y238</f>
        <v>189962.48</v>
      </c>
      <c r="X238" s="306"/>
      <c r="Y238" s="216">
        <v>189962.48</v>
      </c>
      <c r="Z238" s="304" t="s">
        <v>276</v>
      </c>
      <c r="AA238" s="91"/>
      <c r="AB238" s="90"/>
      <c r="AC238" s="10"/>
      <c r="AD238" s="10"/>
    </row>
    <row r="239" spans="1:30" ht="13.5" customHeight="1">
      <c r="A239" s="179">
        <f>A238+1</f>
        <v>130</v>
      </c>
      <c r="B239" s="215" t="s">
        <v>361</v>
      </c>
      <c r="C239" s="18">
        <f>D239+K239+M239+O239+Q239+S239+U239+V239+W239+X239</f>
        <v>192955.45</v>
      </c>
      <c r="D239" s="17">
        <f>E239+F239+G239+H239+I239</f>
        <v>0</v>
      </c>
      <c r="E239" s="17"/>
      <c r="F239" s="17"/>
      <c r="G239" s="17"/>
      <c r="H239" s="17"/>
      <c r="I239" s="17"/>
      <c r="J239" s="17"/>
      <c r="K239" s="17"/>
      <c r="L239" s="260"/>
      <c r="M239" s="258"/>
      <c r="N239" s="19"/>
      <c r="O239" s="19"/>
      <c r="P239" s="19"/>
      <c r="Q239" s="19"/>
      <c r="R239" s="17"/>
      <c r="S239" s="17"/>
      <c r="T239" s="17"/>
      <c r="U239" s="17"/>
      <c r="V239" s="18"/>
      <c r="W239" s="18">
        <f>Y239</f>
        <v>192955.45</v>
      </c>
      <c r="X239" s="306"/>
      <c r="Y239" s="216">
        <v>192955.45</v>
      </c>
      <c r="Z239" s="304" t="s">
        <v>276</v>
      </c>
      <c r="AA239" s="91"/>
      <c r="AB239" s="90"/>
      <c r="AC239" s="10"/>
      <c r="AD239" s="10"/>
    </row>
    <row r="240" spans="1:30" ht="12.75" customHeight="1">
      <c r="A240" s="179">
        <f>A239+1</f>
        <v>131</v>
      </c>
      <c r="B240" s="60" t="s">
        <v>349</v>
      </c>
      <c r="C240" s="18">
        <f>D240+K240+M240+O240+Q240+S240+U240+V240+W240+X240</f>
        <v>723279.94</v>
      </c>
      <c r="D240" s="17">
        <f>E240+F240+G240+H240+I240</f>
        <v>0</v>
      </c>
      <c r="E240" s="17"/>
      <c r="F240" s="17"/>
      <c r="G240" s="17"/>
      <c r="H240" s="17"/>
      <c r="I240" s="17"/>
      <c r="J240" s="17"/>
      <c r="K240" s="17"/>
      <c r="L240" s="260"/>
      <c r="M240" s="262"/>
      <c r="N240" s="19"/>
      <c r="O240" s="19"/>
      <c r="P240" s="19"/>
      <c r="Q240" s="19"/>
      <c r="R240" s="17"/>
      <c r="S240" s="17"/>
      <c r="T240" s="17"/>
      <c r="U240" s="17"/>
      <c r="V240" s="18"/>
      <c r="W240" s="18">
        <f>Y240</f>
        <v>723279.94</v>
      </c>
      <c r="X240" s="306"/>
      <c r="Y240" s="216">
        <v>723279.94</v>
      </c>
      <c r="Z240" s="304" t="s">
        <v>276</v>
      </c>
      <c r="AA240" s="91"/>
      <c r="AB240" s="90"/>
      <c r="AC240" s="10"/>
      <c r="AD240" s="10"/>
    </row>
    <row r="241" spans="1:30" ht="12.75" customHeight="1">
      <c r="A241" s="308" t="s">
        <v>64</v>
      </c>
      <c r="B241" s="308"/>
      <c r="C241" s="18">
        <f aca="true" t="shared" si="66" ref="C241:W241">SUM(C236:C240)</f>
        <v>1812168.49</v>
      </c>
      <c r="D241" s="18">
        <f t="shared" si="66"/>
        <v>0</v>
      </c>
      <c r="E241" s="18">
        <f t="shared" si="66"/>
        <v>0</v>
      </c>
      <c r="F241" s="18">
        <f t="shared" si="66"/>
        <v>0</v>
      </c>
      <c r="G241" s="18">
        <f t="shared" si="66"/>
        <v>0</v>
      </c>
      <c r="H241" s="18">
        <f t="shared" si="66"/>
        <v>0</v>
      </c>
      <c r="I241" s="18">
        <f t="shared" si="66"/>
        <v>0</v>
      </c>
      <c r="J241" s="18">
        <f t="shared" si="66"/>
        <v>0</v>
      </c>
      <c r="K241" s="18">
        <f t="shared" si="66"/>
        <v>0</v>
      </c>
      <c r="L241" s="18">
        <f t="shared" si="66"/>
        <v>0</v>
      </c>
      <c r="M241" s="18">
        <f t="shared" si="66"/>
        <v>0</v>
      </c>
      <c r="N241" s="18">
        <f t="shared" si="66"/>
        <v>0</v>
      </c>
      <c r="O241" s="18">
        <f t="shared" si="66"/>
        <v>0</v>
      </c>
      <c r="P241" s="18">
        <f t="shared" si="66"/>
        <v>0</v>
      </c>
      <c r="Q241" s="18">
        <f t="shared" si="66"/>
        <v>0</v>
      </c>
      <c r="R241" s="18">
        <f t="shared" si="66"/>
        <v>0</v>
      </c>
      <c r="S241" s="18">
        <f t="shared" si="66"/>
        <v>0</v>
      </c>
      <c r="T241" s="18">
        <f t="shared" si="66"/>
        <v>0</v>
      </c>
      <c r="U241" s="18">
        <f t="shared" si="66"/>
        <v>0</v>
      </c>
      <c r="V241" s="18">
        <f t="shared" si="66"/>
        <v>0</v>
      </c>
      <c r="W241" s="18">
        <f t="shared" si="66"/>
        <v>1812168.49</v>
      </c>
      <c r="X241" s="306">
        <f>C241-W241</f>
        <v>0</v>
      </c>
      <c r="Y241" s="306"/>
      <c r="Z241" s="306"/>
      <c r="AA241" s="91">
        <f>E241+F241+G241+H241+I241+K241+M241+O241+Q241+S241+U241+W241+V241+X241</f>
        <v>1812168.49</v>
      </c>
      <c r="AB241" s="90">
        <f>AA241-C241</f>
        <v>0</v>
      </c>
      <c r="AC241" s="90"/>
      <c r="AD241" s="90"/>
    </row>
    <row r="242" spans="1:31" s="13" customFormat="1" ht="12.75" customHeight="1">
      <c r="A242" s="307" t="s">
        <v>88</v>
      </c>
      <c r="B242" s="307"/>
      <c r="C242" s="225">
        <f>C241</f>
        <v>1812168.49</v>
      </c>
      <c r="D242" s="225">
        <f aca="true" t="shared" si="67" ref="D242:Q242">D241</f>
        <v>0</v>
      </c>
      <c r="E242" s="225">
        <f t="shared" si="67"/>
        <v>0</v>
      </c>
      <c r="F242" s="225">
        <f t="shared" si="67"/>
        <v>0</v>
      </c>
      <c r="G242" s="225">
        <f t="shared" si="67"/>
        <v>0</v>
      </c>
      <c r="H242" s="225">
        <f t="shared" si="67"/>
        <v>0</v>
      </c>
      <c r="I242" s="225">
        <f t="shared" si="67"/>
        <v>0</v>
      </c>
      <c r="J242" s="225">
        <f t="shared" si="67"/>
        <v>0</v>
      </c>
      <c r="K242" s="225">
        <f t="shared" si="67"/>
        <v>0</v>
      </c>
      <c r="L242" s="225">
        <f t="shared" si="67"/>
        <v>0</v>
      </c>
      <c r="M242" s="225">
        <f t="shared" si="67"/>
        <v>0</v>
      </c>
      <c r="N242" s="225">
        <f t="shared" si="67"/>
        <v>0</v>
      </c>
      <c r="O242" s="225">
        <f t="shared" si="67"/>
        <v>0</v>
      </c>
      <c r="P242" s="225">
        <f t="shared" si="67"/>
        <v>0</v>
      </c>
      <c r="Q242" s="225">
        <f t="shared" si="67"/>
        <v>0</v>
      </c>
      <c r="R242" s="225">
        <f aca="true" t="shared" si="68" ref="R242:W242">R241</f>
        <v>0</v>
      </c>
      <c r="S242" s="225">
        <f t="shared" si="68"/>
        <v>0</v>
      </c>
      <c r="T242" s="225">
        <f t="shared" si="68"/>
        <v>0</v>
      </c>
      <c r="U242" s="225">
        <f t="shared" si="68"/>
        <v>0</v>
      </c>
      <c r="V242" s="225">
        <f t="shared" si="68"/>
        <v>0</v>
      </c>
      <c r="W242" s="225">
        <f t="shared" si="68"/>
        <v>1812168.49</v>
      </c>
      <c r="X242" s="306">
        <f>C242-W242</f>
        <v>0</v>
      </c>
      <c r="Y242" s="298"/>
      <c r="Z242" s="298"/>
      <c r="AA242" s="91"/>
      <c r="AB242" s="90"/>
      <c r="AC242" s="90"/>
      <c r="AD242" s="90"/>
      <c r="AE242" s="89"/>
    </row>
    <row r="243" spans="1:30" ht="12.75">
      <c r="A243" s="350" t="s">
        <v>89</v>
      </c>
      <c r="B243" s="350"/>
      <c r="C243" s="225">
        <f>C18+C23+C29+C39+C90+C122+C128+C138+C151+C182+C214+C225+C230+C233+C242</f>
        <v>76855691.94900002</v>
      </c>
      <c r="D243" s="225">
        <f aca="true" t="shared" si="69" ref="D243:W243">D18+D23+D29+D39+D90+D122+D128+D138+D151+D182+D214+D225+D230+D233+D242</f>
        <v>0</v>
      </c>
      <c r="E243" s="225">
        <f t="shared" si="69"/>
        <v>0</v>
      </c>
      <c r="F243" s="225">
        <f t="shared" si="69"/>
        <v>0</v>
      </c>
      <c r="G243" s="225">
        <f t="shared" si="69"/>
        <v>0</v>
      </c>
      <c r="H243" s="225">
        <f t="shared" si="69"/>
        <v>0</v>
      </c>
      <c r="I243" s="225">
        <f t="shared" si="69"/>
        <v>0</v>
      </c>
      <c r="J243" s="225">
        <f t="shared" si="69"/>
        <v>0</v>
      </c>
      <c r="K243" s="225">
        <f t="shared" si="69"/>
        <v>0</v>
      </c>
      <c r="L243" s="225">
        <f t="shared" si="69"/>
        <v>2085</v>
      </c>
      <c r="M243" s="225">
        <f t="shared" si="69"/>
        <v>2913308.48</v>
      </c>
      <c r="N243" s="225">
        <f t="shared" si="69"/>
        <v>0</v>
      </c>
      <c r="O243" s="225">
        <f t="shared" si="69"/>
        <v>0</v>
      </c>
      <c r="P243" s="225">
        <f t="shared" si="69"/>
        <v>4617</v>
      </c>
      <c r="Q243" s="225">
        <f t="shared" si="69"/>
        <v>7679285.42</v>
      </c>
      <c r="R243" s="225">
        <f t="shared" si="69"/>
        <v>0</v>
      </c>
      <c r="S243" s="225">
        <f t="shared" si="69"/>
        <v>0</v>
      </c>
      <c r="T243" s="225">
        <f t="shared" si="69"/>
        <v>0</v>
      </c>
      <c r="U243" s="225">
        <f t="shared" si="69"/>
        <v>0</v>
      </c>
      <c r="V243" s="225">
        <f t="shared" si="69"/>
        <v>0</v>
      </c>
      <c r="W243" s="225">
        <f t="shared" si="69"/>
        <v>66263098.049</v>
      </c>
      <c r="X243" s="298">
        <f>X242+X233+X225+X214+X182+X138+X122+X90+X39+X29+X18+X151+X128+X230</f>
        <v>0</v>
      </c>
      <c r="Y243" s="298"/>
      <c r="Z243" s="298"/>
      <c r="AA243" s="91">
        <f>SUM(AA7:AA242)</f>
        <v>60031008.48900001</v>
      </c>
      <c r="AB243" s="90">
        <f>AA243-C243</f>
        <v>-16824683.46000001</v>
      </c>
      <c r="AC243" s="90"/>
      <c r="AD243" s="90"/>
    </row>
    <row r="244" spans="1:28" ht="12.75" customHeight="1">
      <c r="A244" s="353" t="s">
        <v>90</v>
      </c>
      <c r="B244" s="353"/>
      <c r="C244" s="290">
        <f>C249*0.0214</f>
        <v>226681.50946000026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306"/>
      <c r="Y244" s="306"/>
      <c r="Z244" s="306"/>
      <c r="AA244" s="91">
        <f>E244+F244+G244+H244+I244+K244+M244+O244+Q244+S244+U244+W244+V244+X244</f>
        <v>0</v>
      </c>
      <c r="AB244" s="90">
        <f>AA244-C244</f>
        <v>-226681.50946000026</v>
      </c>
    </row>
    <row r="245" spans="1:28" ht="12.75" customHeight="1">
      <c r="A245" s="307" t="s">
        <v>91</v>
      </c>
      <c r="B245" s="307"/>
      <c r="C245" s="290">
        <f>C243+C244</f>
        <v>77082373.45846002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306"/>
      <c r="Y245" s="306"/>
      <c r="Z245" s="306"/>
      <c r="AA245" s="91">
        <f>E245+F245+G245+H245+I245+K245+M245+O245+Q245+S245+U245+W245+V245+X245</f>
        <v>0</v>
      </c>
      <c r="AB245" s="90">
        <f>AA245-C245</f>
        <v>-77082373.45846002</v>
      </c>
    </row>
    <row r="246" ht="12.75" hidden="1"/>
    <row r="247" spans="3:25" ht="12.75" hidden="1">
      <c r="C247" s="269">
        <f>(C243-W243-X243)*2.14/100</f>
        <v>226681.5094600003</v>
      </c>
      <c r="D247" s="233">
        <f>E243+F243+G243+H243+I243+K243+M243+O243+Q243+S243+U243+V243+W243+X243</f>
        <v>76855691.949</v>
      </c>
      <c r="Y247" s="6" t="e">
        <f>Y12+Y13+Y16+Y26+Y27+Y35+Y36+Y37+Y42+Y43+Y46+Y47+Y48+Y49+Y51+Y53+#REF!+Y54+Y55+Y59+#REF!+Y70+Y71+Y72+Y73+Y74+Y75+Y76+Y86+Y87+Y93+Y94+Y95+Y98+Y99+Y102+Y103+Y104+Y105+Y106+Y107+Y108+Y109+Y110+Y111+Y112+Y113+Y114+Y115+Y116+Y117+Y118+Y119+Y120+Y125+Y126+#REF!+#REF!+#REF!+#REF!+Y131+Y132+Y133+Y134+Y135+Y136+Y160+Y161+Y162+Y163+Y163+Y169+Y185+Y189+Y190+Y191+Y192+Y193+Y194+Y195+Y196+Y197+Y198+Y202+Y204+Y205+Y206+Y207+#REF!+#REF!+Y210+Y217+Y220+Y223+Y236+Y237+Y238+Y239+Y240+Y157+Y156+Y155+Y154+Y60+Y61+Y58+Y57+Y56+Y232+Y180+#REF!+#REF!+#REF!+#REF!+#REF!+#REF!+#REF!</f>
        <v>#REF!</v>
      </c>
    </row>
    <row r="248" ht="12.75" hidden="1"/>
    <row r="249" ht="12.75" hidden="1">
      <c r="C249" s="233">
        <f>C243-W243</f>
        <v>10592593.900000013</v>
      </c>
    </row>
    <row r="250" ht="12.75" hidden="1"/>
    <row r="251" ht="12.75" hidden="1"/>
    <row r="252" ht="12.75" hidden="1"/>
  </sheetData>
  <sheetProtection/>
  <autoFilter ref="A9:Z88"/>
  <mergeCells count="140">
    <mergeCell ref="D153:X153"/>
    <mergeCell ref="A158:B158"/>
    <mergeCell ref="A165:C165"/>
    <mergeCell ref="A171:C171"/>
    <mergeCell ref="A178:B178"/>
    <mergeCell ref="A199:B199"/>
    <mergeCell ref="A179:C179"/>
    <mergeCell ref="A183:X183"/>
    <mergeCell ref="A159:C159"/>
    <mergeCell ref="D159:X159"/>
    <mergeCell ref="A229:B229"/>
    <mergeCell ref="A147:B147"/>
    <mergeCell ref="A181:B181"/>
    <mergeCell ref="A170:B170"/>
    <mergeCell ref="A153:C153"/>
    <mergeCell ref="A219:C219"/>
    <mergeCell ref="A184:C184"/>
    <mergeCell ref="A188:C188"/>
    <mergeCell ref="A186:B186"/>
    <mergeCell ref="A152:X152"/>
    <mergeCell ref="Y4:Y6"/>
    <mergeCell ref="Z4:Z6"/>
    <mergeCell ref="A78:C78"/>
    <mergeCell ref="A84:B84"/>
    <mergeCell ref="A69:C69"/>
    <mergeCell ref="A44:B44"/>
    <mergeCell ref="A62:B62"/>
    <mergeCell ref="A41:C41"/>
    <mergeCell ref="A20:C20"/>
    <mergeCell ref="D20:X20"/>
    <mergeCell ref="D203:X203"/>
    <mergeCell ref="A208:B208"/>
    <mergeCell ref="A209:C209"/>
    <mergeCell ref="A97:C97"/>
    <mergeCell ref="A91:X91"/>
    <mergeCell ref="A88:B88"/>
    <mergeCell ref="A200:C200"/>
    <mergeCell ref="A128:B128"/>
    <mergeCell ref="A90:B90"/>
    <mergeCell ref="D200:X200"/>
    <mergeCell ref="A244:B244"/>
    <mergeCell ref="A245:B245"/>
    <mergeCell ref="A243:B243"/>
    <mergeCell ref="A242:B242"/>
    <mergeCell ref="A234:X234"/>
    <mergeCell ref="A235:C235"/>
    <mergeCell ref="D235:X235"/>
    <mergeCell ref="A241:B241"/>
    <mergeCell ref="A233:B233"/>
    <mergeCell ref="A225:B225"/>
    <mergeCell ref="A221:B221"/>
    <mergeCell ref="A222:C222"/>
    <mergeCell ref="D222:X222"/>
    <mergeCell ref="A224:B224"/>
    <mergeCell ref="A231:X231"/>
    <mergeCell ref="A226:Z226"/>
    <mergeCell ref="A227:B227"/>
    <mergeCell ref="A230:B230"/>
    <mergeCell ref="D219:X219"/>
    <mergeCell ref="A215:X215"/>
    <mergeCell ref="A214:B214"/>
    <mergeCell ref="A216:C216"/>
    <mergeCell ref="D216:X216"/>
    <mergeCell ref="A202:B202"/>
    <mergeCell ref="D209:X209"/>
    <mergeCell ref="A218:B218"/>
    <mergeCell ref="A213:B213"/>
    <mergeCell ref="A203:C203"/>
    <mergeCell ref="A168:C168"/>
    <mergeCell ref="A123:X123"/>
    <mergeCell ref="A150:B150"/>
    <mergeCell ref="A151:B151"/>
    <mergeCell ref="A182:B182"/>
    <mergeCell ref="A148:C148"/>
    <mergeCell ref="D168:X168"/>
    <mergeCell ref="A139:X139"/>
    <mergeCell ref="D130:X130"/>
    <mergeCell ref="A129:X129"/>
    <mergeCell ref="A140:C140"/>
    <mergeCell ref="A167:B167"/>
    <mergeCell ref="A164:B164"/>
    <mergeCell ref="A127:B127"/>
    <mergeCell ref="A137:B137"/>
    <mergeCell ref="A130:C130"/>
    <mergeCell ref="A124:C124"/>
    <mergeCell ref="A100:B100"/>
    <mergeCell ref="A101:C101"/>
    <mergeCell ref="D101:X101"/>
    <mergeCell ref="A122:B122"/>
    <mergeCell ref="A138:B138"/>
    <mergeCell ref="A121:B121"/>
    <mergeCell ref="A77:B77"/>
    <mergeCell ref="D97:X97"/>
    <mergeCell ref="D85:X85"/>
    <mergeCell ref="A92:C92"/>
    <mergeCell ref="A85:C85"/>
    <mergeCell ref="A96:B96"/>
    <mergeCell ref="A38:B38"/>
    <mergeCell ref="A68:B68"/>
    <mergeCell ref="A45:C45"/>
    <mergeCell ref="D45:X45"/>
    <mergeCell ref="A31:C31"/>
    <mergeCell ref="A34:C34"/>
    <mergeCell ref="A39:B39"/>
    <mergeCell ref="A40:X40"/>
    <mergeCell ref="A63:C63"/>
    <mergeCell ref="D34:X34"/>
    <mergeCell ref="A30:X30"/>
    <mergeCell ref="A33:B33"/>
    <mergeCell ref="A24:X24"/>
    <mergeCell ref="A18:B18"/>
    <mergeCell ref="D5:D6"/>
    <mergeCell ref="A19:X19"/>
    <mergeCell ref="A10:X10"/>
    <mergeCell ref="E5:I5"/>
    <mergeCell ref="R4:S6"/>
    <mergeCell ref="J4:K6"/>
    <mergeCell ref="A1:X1"/>
    <mergeCell ref="A3:A7"/>
    <mergeCell ref="B3:B7"/>
    <mergeCell ref="C3:C6"/>
    <mergeCell ref="D3:X3"/>
    <mergeCell ref="A14:B14"/>
    <mergeCell ref="D4:I4"/>
    <mergeCell ref="L4:M6"/>
    <mergeCell ref="X4:X6"/>
    <mergeCell ref="T4:U6"/>
    <mergeCell ref="A11:C11"/>
    <mergeCell ref="D11:X11"/>
    <mergeCell ref="W4:W6"/>
    <mergeCell ref="P4:Q6"/>
    <mergeCell ref="N4:O6"/>
    <mergeCell ref="V4:V6"/>
    <mergeCell ref="A29:B29"/>
    <mergeCell ref="A28:B28"/>
    <mergeCell ref="A17:B17"/>
    <mergeCell ref="D25:X25"/>
    <mergeCell ref="A22:B22"/>
    <mergeCell ref="A23:B23"/>
    <mergeCell ref="A25:C2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1.421875" style="16" bestFit="1" customWidth="1"/>
    <col min="5" max="5" width="10.00390625" style="16" bestFit="1" customWidth="1"/>
    <col min="6" max="6" width="13.7109375" style="16" customWidth="1"/>
    <col min="7" max="7" width="17.140625" style="16" customWidth="1"/>
    <col min="8" max="8" width="21.57421875" style="16" customWidth="1"/>
    <col min="9" max="11" width="9.140625" style="16" customWidth="1"/>
  </cols>
  <sheetData>
    <row r="4" spans="5:7" ht="14.25">
      <c r="E4" s="16" t="s">
        <v>253</v>
      </c>
      <c r="G4" s="16" t="s">
        <v>254</v>
      </c>
    </row>
    <row r="5" spans="4:7" ht="14.25">
      <c r="D5" s="16">
        <v>1500000</v>
      </c>
      <c r="E5" s="16">
        <f>D5*20/100</f>
        <v>300000</v>
      </c>
      <c r="F5" s="16">
        <f>D5-E5</f>
        <v>1200000</v>
      </c>
      <c r="G5" s="16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2018-12-14T07:48:16Z</dcterms:modified>
  <cp:category/>
  <cp:version/>
  <cp:contentType/>
  <cp:contentStatus/>
</cp:coreProperties>
</file>