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0" windowWidth="19440" windowHeight="6375" tabRatio="884" activeTab="1"/>
  </bookViews>
  <sheets>
    <sheet name="виды работ  (2)" sheetId="1" r:id="rId1"/>
    <sheet name="характеристики мкд" sheetId="2" r:id="rId2"/>
  </sheets>
  <definedNames>
    <definedName name="_xlnm.Print_Titles" localSheetId="0">'виды работ  (2)'!$8:$8</definedName>
    <definedName name="_xlnm.Print_Area" localSheetId="0">'виды работ  (2)'!$A$1:$X$862</definedName>
    <definedName name="_xlnm.Print_Area" localSheetId="1">'характеристики мкд'!$A$1:$T$863</definedName>
  </definedNames>
  <calcPr fullCalcOnLoad="1"/>
</workbook>
</file>

<file path=xl/sharedStrings.xml><?xml version="1.0" encoding="utf-8"?>
<sst xmlns="http://schemas.openxmlformats.org/spreadsheetml/2006/main" count="4524" uniqueCount="852">
  <si>
    <t>Адрес МКД</t>
  </si>
  <si>
    <t>Дер. Хвалово, д. 2</t>
  </si>
  <si>
    <t>Выборгский раойн</t>
  </si>
  <si>
    <t>Дер. Б. Пустомержа, д. 1</t>
  </si>
  <si>
    <t>Дер. Б. Пустомержа, д. 2</t>
  </si>
  <si>
    <t>Дер. Б. Пустомержа, д. 3</t>
  </si>
  <si>
    <t>Дер. Мошково, ул. Солнечная, д. 23</t>
  </si>
  <si>
    <t>Пос. Шугозеро, ул. Капшинская, д. 3</t>
  </si>
  <si>
    <t>Пос. Шугозеро, ул. Капшинская, д. 7</t>
  </si>
  <si>
    <t>Пос. Шугозеро, ул. Лесная, д. 4</t>
  </si>
  <si>
    <t>Пос. Шугозеро, ул. Советская, д. 49</t>
  </si>
  <si>
    <t>Пос. Шугозеро, ул. Советская, д. 50</t>
  </si>
  <si>
    <t>Пос. Шугозеро, ул. Советская, д. 59</t>
  </si>
  <si>
    <t>Пос. Шугозеро, ул. Советская, д. 71</t>
  </si>
  <si>
    <t>Пос. Шугозеро, ул. Школьная, д. 15</t>
  </si>
  <si>
    <t>Пос. Шугозеро, ул. Школьная, д. 2</t>
  </si>
  <si>
    <t>Пос. Шугозеро, ул. Школьная, д. 4</t>
  </si>
  <si>
    <t>Пос. Шугозеро, ул. Школьная, д. 6</t>
  </si>
  <si>
    <t>Тосненский район</t>
  </si>
  <si>
    <t>пос. Сельхозтехника, д. 5</t>
  </si>
  <si>
    <t>Пос. Мичуринское, ул.Первомайская, д. 41а</t>
  </si>
  <si>
    <t>Пос. Мичуринское, ул. Первомайская, д. 39а</t>
  </si>
  <si>
    <t>Пос. Мичуринское, ул. Первомайская, д. 7б</t>
  </si>
  <si>
    <t>Г. Тихвин, ул. Коммунаров, д. 11</t>
  </si>
  <si>
    <t>Г. Тихвин, ул. Коммунаров, д. 14</t>
  </si>
  <si>
    <t>Г. Тихвин, ул. Красная, д. 11</t>
  </si>
  <si>
    <t>Г. Тихвин, ул. Новгородская, д. 3</t>
  </si>
  <si>
    <t>Г. Тихвин, ул. Новгородская, д. 23</t>
  </si>
  <si>
    <t>Г. Тихвин, ул. Новгородская, д. 33</t>
  </si>
  <si>
    <t>Г. Тихвин, ул. Новгородская, д. 39</t>
  </si>
  <si>
    <t>Г. Тихвин, ул. Новгородская, д. 46</t>
  </si>
  <si>
    <t>Г. Тихвин, ул. Пролетарской диктатуры, д. 29</t>
  </si>
  <si>
    <t>Г. Тихвин, ул. Ращупкина, д. 16</t>
  </si>
  <si>
    <t>Г. Тихвин, ул. Римского-Корсакова, д. 7</t>
  </si>
  <si>
    <t>Г. Тихвин, ул. Римского-Корсакова, д. 14</t>
  </si>
  <si>
    <t>Г. Тихвин, ул. Римского-Корсакова, д. 43</t>
  </si>
  <si>
    <t>Г. Тихвин, ул. Связи, д. 34</t>
  </si>
  <si>
    <t>Г. Тихвин, пл. Свободы, д. 12</t>
  </si>
  <si>
    <t>Г. Тихвин, ул. Советская, д. 23</t>
  </si>
  <si>
    <t>Г. Тихвин, ул. Советская, д. 25</t>
  </si>
  <si>
    <t>Г. Тихвин, ул. Советская, д. 26</t>
  </si>
  <si>
    <t>Г. Тихвин, ул. Советская, д. 33</t>
  </si>
  <si>
    <t>Г. Тихвин, ул. Советская, д. 48а</t>
  </si>
  <si>
    <t>Г. Тихвин, ул. Советская, д. 54</t>
  </si>
  <si>
    <t>Г. Тихвин, ул. Советская, д. 55</t>
  </si>
  <si>
    <t>Г. Тихвин, ул. Советская, д. 56</t>
  </si>
  <si>
    <t>Г. Тихвин, ул. Советская, д. 58</t>
  </si>
  <si>
    <t>Г. Тихвин, ул. Советская, д. 73</t>
  </si>
  <si>
    <t>Г. Тихвин, ул. Советская, д. 79</t>
  </si>
  <si>
    <t>Г. Тихвин, ул. Советская, д. 96</t>
  </si>
  <si>
    <t>Г. Тихвин, ул. Советская, д. 141</t>
  </si>
  <si>
    <t>Г. Тихвин, ул. Советская, д. 143</t>
  </si>
  <si>
    <t>Г. Тихвин, ул. Социалистическая, д. 16</t>
  </si>
  <si>
    <t>Г. Тихвин, ул. Танкистов, д. 36</t>
  </si>
  <si>
    <t>Г. Тихвин, ул. Труда, д. 11</t>
  </si>
  <si>
    <t>Г. Тихвин, ул. Труда, д. 20</t>
  </si>
  <si>
    <t>Г. Тихвин, ул. Чернышевская, д. 27</t>
  </si>
  <si>
    <t>Г. Тихвин, ул. Чернышевская, д. 48</t>
  </si>
  <si>
    <t>Пос. Царицыно Озеро, д. 1</t>
  </si>
  <si>
    <t>Пос. Царицыно Озеро, д. 2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</si>
  <si>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</si>
  <si>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</si>
  <si>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</si>
  <si>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</si>
  <si>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</si>
  <si>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</si>
  <si>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</si>
  <si>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</si>
  <si>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</si>
  <si>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</si>
  <si>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</si>
  <si>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</si>
  <si>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</si>
  <si>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</si>
  <si>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</si>
  <si>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</si>
  <si>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</si>
  <si>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</si>
  <si>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</si>
  <si>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</si>
  <si>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</si>
  <si>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</si>
  <si>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</si>
  <si>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</si>
  <si>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</si>
  <si>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Г. Бокситогорск, ул. Комсомольская, д. 10</t>
  </si>
  <si>
    <t>Г. Бокситогорск, ул. Садовая, д. 3</t>
  </si>
  <si>
    <t>Г. Бокситогорск, ул. Социалистическая, д. 2</t>
  </si>
  <si>
    <t>Г. Бокситогорск, ул. Социалистическая, д. 20</t>
  </si>
  <si>
    <t>Г. Бокситогорск, ул. Социалистическая, д. 26</t>
  </si>
  <si>
    <t>Г. Бокситогорск, ул. Школьная, д. 14/13</t>
  </si>
  <si>
    <t>Г. Бокситогорск, ул. Комсомольская, д. 14</t>
  </si>
  <si>
    <t>Г. Бокситогорск, ул. Школьная, д. 10</t>
  </si>
  <si>
    <t>Дер. Климово, д. 1</t>
  </si>
  <si>
    <t>Кирпич</t>
  </si>
  <si>
    <t>Дер. Климово, д. 3</t>
  </si>
  <si>
    <t>Дер. Климово, д. 4</t>
  </si>
  <si>
    <t>Г. Пикалево, ул. Металлургов, д. 19</t>
  </si>
  <si>
    <t>Г. Пикалево, ул. Советская, д. 30</t>
  </si>
  <si>
    <t>Г. Пикалево, ул. Советская, д. 5</t>
  </si>
  <si>
    <t>Г. Пикалево, ул. Советская, д. 7</t>
  </si>
  <si>
    <t>кирпич</t>
  </si>
  <si>
    <t>Дер. Большая Вруда, д. 6</t>
  </si>
  <si>
    <t>Г. Волосово, ул. Восстания, д. 19</t>
  </si>
  <si>
    <t>Г. Волосово, ул. Ленинградская, д. 5</t>
  </si>
  <si>
    <t>Пос. Сумино, д. 64</t>
  </si>
  <si>
    <t>Пос. Каложицы, д. 15</t>
  </si>
  <si>
    <t>Дер. Ущевицы, д. 20</t>
  </si>
  <si>
    <t>Пос. Кикерино, пер. Гатчинский, д. 9а</t>
  </si>
  <si>
    <t>Дер. Б. Сабск, д. 3</t>
  </si>
  <si>
    <t>Дер. Терпилицы, д. 9</t>
  </si>
  <si>
    <t>Г. Волхов, ул. Профсоюзов, д. 7</t>
  </si>
  <si>
    <t>Г. Волхов, ул. Марата, д. 2</t>
  </si>
  <si>
    <t>Г. Волхов, бул. Чайковского, д. 4</t>
  </si>
  <si>
    <t>Г. Волхов, ул. Вали Голубевой, д. 7</t>
  </si>
  <si>
    <t>Г. Волхов, ул. Молодежная, д. 11</t>
  </si>
  <si>
    <t>Г. Новая Ладога, микрорайон Южный, д. 10</t>
  </si>
  <si>
    <t>Г. Новая Ладога, микрорайон Южный, д. 19</t>
  </si>
  <si>
    <t>Г. Новая Ладога, микрорайон Южный, д. 6</t>
  </si>
  <si>
    <t>Г. Новая Ладога, микрорайон Южный, д. 7</t>
  </si>
  <si>
    <t>Г. Новая Ладога, микрорайон Южный, д. 9</t>
  </si>
  <si>
    <t>Г. Новая Ладога, пер. А. Невского, д. 5</t>
  </si>
  <si>
    <t>Г. Новая Ладога, пер. Рыбацкий, д. 3</t>
  </si>
  <si>
    <t>Г. Новая Ладога, пер. Суворова, д. 26</t>
  </si>
  <si>
    <t>Г. Новая Ладога, просп. К. Маркса, д. 19</t>
  </si>
  <si>
    <t>Г. Новая Ладога, просп. К. Маркса, д. 22</t>
  </si>
  <si>
    <t>Г. Новая Ладога, просп. К. Маркса, д. 38А</t>
  </si>
  <si>
    <t>Г. Новая Ладога, просп. К. Маркса, д. 58</t>
  </si>
  <si>
    <t>Г. Новая Ладога, ул. 1 Мая, д. 11</t>
  </si>
  <si>
    <t>Г. Новая Ладога, ул. 1 Мая, д. 16</t>
  </si>
  <si>
    <t>Г. Новая Ладога, ул. 1 Мая, д. 6А</t>
  </si>
  <si>
    <t>Г. Новая Ладога, ул. Володарского, д. 16</t>
  </si>
  <si>
    <t>Г. Новая Ладога, ул. Володарского, д. 17А</t>
  </si>
  <si>
    <t>Г. Новая Ладога, ул. Володарского, д. 8</t>
  </si>
  <si>
    <t>Г. Новая Ладога, ул. Ворошилова, д. 13</t>
  </si>
  <si>
    <t>Г. Новая Ладога, ул. Ворошилова, д. 15</t>
  </si>
  <si>
    <t>Г. Новая Ладога, ул. Ворошилова, д. 26</t>
  </si>
  <si>
    <t>Г. Новая Ладога, ул. Ворошилова, д. 27</t>
  </si>
  <si>
    <t>Г. Новая Ладога, ул. Ворошилова, д. 28</t>
  </si>
  <si>
    <t>Г. Новая Ладога, ул. Ворошилова, д. 7</t>
  </si>
  <si>
    <t>Г. Новая Ладога, ул. Ворошилова, д. 9</t>
  </si>
  <si>
    <t>Г. Новая Ладога, ул. Гагарина, д. 10</t>
  </si>
  <si>
    <t>Г. Новая Ладога, ул. Гагарина, д. 13</t>
  </si>
  <si>
    <t>Г. Новая Ладога, ул. Креницы, д. 2</t>
  </si>
  <si>
    <t>Г. Новая Ладога, ул. Лениградская, д. 9</t>
  </si>
  <si>
    <t>Г. Новая Ладога, ул. М. Горького, д. 10</t>
  </si>
  <si>
    <t>Г. Новая Ладога, ул. М. Горького, д. 19</t>
  </si>
  <si>
    <t>Г. Новая Ладога, ул. М. Горького, д. 2А</t>
  </si>
  <si>
    <t>Г. Новая Ладога, ул. М. Горького, д. 7</t>
  </si>
  <si>
    <t>Г. Новая Ладога, ул. М. Горького, д. 7А</t>
  </si>
  <si>
    <t>Г. Новая Ладога, ул. М. Горького, д. 9</t>
  </si>
  <si>
    <t>Г. Новая Ладога, Наб. Лад. Флотилии, д. 13</t>
  </si>
  <si>
    <t>Г. Новая Ладога, Наб. Лад. Флотилии, д. 38</t>
  </si>
  <si>
    <t>Г. Новая Ладога, ул. Новая Слобода, д. 2</t>
  </si>
  <si>
    <t>Г. Новая Ладога, ул. Новая Слобода, д. 4</t>
  </si>
  <si>
    <t>Г. Новая Ладога, ул. Новая Слобода, д. 6</t>
  </si>
  <si>
    <t>Г. Новая Ладога, ул. Новый Канал, д. 10</t>
  </si>
  <si>
    <t>Г. Новая Ладога, ул. Пионерская, д. 11</t>
  </si>
  <si>
    <t>Г. Новая Ладога, ул. Пионерская, д. 16А</t>
  </si>
  <si>
    <t>Г. Новая Ладога, ул. Пионерская, д. 5</t>
  </si>
  <si>
    <t>Г. Новая Ладога, ул. Пионерская, д. 9</t>
  </si>
  <si>
    <t>Г. Новая Ладога, ул. Пролетарский канал, д. 11</t>
  </si>
  <si>
    <t>Г. Новая Ладога, ул. Пролетарский канал, д. 12</t>
  </si>
  <si>
    <t>Г. Новая Ладога, ул. Пролетарский канал, д. 14</t>
  </si>
  <si>
    <t>Г. Новая Ладога, ул. Пролетарский канал, д. 31</t>
  </si>
  <si>
    <t>Г. Новая Ладога, ул. Пролетарский канал, д. 49</t>
  </si>
  <si>
    <t>Г. Новая Ладога, ул. Садовая, д. 18</t>
  </si>
  <si>
    <t>Г. Новая Ладога, ул. Садовая, д. 18А</t>
  </si>
  <si>
    <t>Г. Новая Ладога, ул. Садовая, д. 20</t>
  </si>
  <si>
    <t>Г. Новая Ладога, ул. Садовая, д. 22</t>
  </si>
  <si>
    <t>Г. Новая Ладога, ул. Садовая, д. 22А</t>
  </si>
  <si>
    <t>Г. Новая Ладога, ул. Садовая, д. 40</t>
  </si>
  <si>
    <t>Г. Новая Ладога, ул. Садовая, д. 40А</t>
  </si>
  <si>
    <t>Г. Новая Ладога, ул. Староладожская, д. 1</t>
  </si>
  <si>
    <t>Г. Новая Ладога, ул. Суворова, д. 2</t>
  </si>
  <si>
    <t>Г. Новая Ладога, ул. Суворова, д. 33</t>
  </si>
  <si>
    <t>Г. Новая Ладога, ул. Суворова, д. 4</t>
  </si>
  <si>
    <t>Г. Новая Ладога, ул. Суворова, д. 43</t>
  </si>
  <si>
    <t>Г. Новая Ладога, ул. Суворова, д. 45</t>
  </si>
  <si>
    <t>Г. Новая Ладога, ул. Суворова, д. 8</t>
  </si>
  <si>
    <t>Г. Новая Ладога, ул. Суворова, д. 8А</t>
  </si>
  <si>
    <t>Г. Новая Ладога, ул. Урицкого, д. 4</t>
  </si>
  <si>
    <t>Г. Новая Ладога, ул. Урицкого, д. 7</t>
  </si>
  <si>
    <t>Г. Новая Ладога, ул. Урицкого, д. 8</t>
  </si>
  <si>
    <t>Г. Новая Ладога, микрорайон В, д. 14</t>
  </si>
  <si>
    <t>Г. Новая Ладога, пер. Водников, д. 12</t>
  </si>
  <si>
    <t>Г. Сясьстрой, ул. Петра Лаврова, д. 4</t>
  </si>
  <si>
    <t>Г. Сясьстрой, ул. Петрозаводская, д. 5</t>
  </si>
  <si>
    <t>Г. Сясьстрой, ул. Строителей, д. 9</t>
  </si>
  <si>
    <t>Г. Сясьстрой, ул. Советская, д. 24</t>
  </si>
  <si>
    <t>Г. Сясьстрой, ул. Советская, д. 26</t>
  </si>
  <si>
    <t>Г. Сясьстрой, ул. Советская, д. 28</t>
  </si>
  <si>
    <t>Пос. Аврово, ул. Набережная, д. 1</t>
  </si>
  <si>
    <t>Г. Сясьстрой, ул. 1 Мая, д. 37</t>
  </si>
  <si>
    <t>Дер. Чаплино, д. 1</t>
  </si>
  <si>
    <t>Дер. Чаплино, д. 2</t>
  </si>
  <si>
    <t>Дер. Чаплино, д. 3</t>
  </si>
  <si>
    <t>Дер. Вындин Остров, ул. Центральная, д. 6</t>
  </si>
  <si>
    <t>Дер. Вындин Остров, ул. Центральная, д. 8</t>
  </si>
  <si>
    <t>Дер. Иссад, микрорайон Центральный, д. 14</t>
  </si>
  <si>
    <t>Дер. Иссад, микрорайон Центральный, д. 15</t>
  </si>
  <si>
    <t>Дер. Иссад, микрорайон Центральный, д. 23</t>
  </si>
  <si>
    <t xml:space="preserve">Г. Сертолово, ул. Заречная, д. 9  </t>
  </si>
  <si>
    <t xml:space="preserve">Г. Сертолово, ул. Молодцова, д. 3  </t>
  </si>
  <si>
    <t xml:space="preserve">Г. Сертолово, ул. Молодцова, д. 4  </t>
  </si>
  <si>
    <t xml:space="preserve">Г. Сертолово, ул. Березовая, д. 11  </t>
  </si>
  <si>
    <t>Г. Сертолово, ул. Кленовая, д. 5, кор. 3</t>
  </si>
  <si>
    <t>Г. Сертолово, ул. Кленовая, д. 5, кор. 4</t>
  </si>
  <si>
    <t xml:space="preserve">Г. Сертолово, микрорайон Черная Речка, д. 8  </t>
  </si>
  <si>
    <t xml:space="preserve">Г. Сертолово, ул. Школьная, д. 1  </t>
  </si>
  <si>
    <t xml:space="preserve">Г. Сертолово, ул. Школьная, д. 5  </t>
  </si>
  <si>
    <t xml:space="preserve">Г. Сертолово, ул. Парковая, д. 1  </t>
  </si>
  <si>
    <t xml:space="preserve">Г. Сертолово, ул. Ларина, д. 3  </t>
  </si>
  <si>
    <t xml:space="preserve">Г.п. Дубровка, ул. Пионерская, д. 3 </t>
  </si>
  <si>
    <t xml:space="preserve">Г.п. Дубровка, ул. Пионерская, д. 4 </t>
  </si>
  <si>
    <t xml:space="preserve">Г.п. Дубровка, ул. Пионерская, д. 5 </t>
  </si>
  <si>
    <t xml:space="preserve">Г.п. Дубровка, ул. Пионерская, д. 6 </t>
  </si>
  <si>
    <t xml:space="preserve">Пос. Рощино, ул. Железнодорожная, д. 50  </t>
  </si>
  <si>
    <t xml:space="preserve">Пос. Рощино, ул. Привокзальная, д. 1  </t>
  </si>
  <si>
    <t xml:space="preserve">Пос. Рощино, ул. Привокзальная, д. 2  </t>
  </si>
  <si>
    <t xml:space="preserve">Пос. Рощино, ул. Привокзальная, д. 3  </t>
  </si>
  <si>
    <t xml:space="preserve">Пос. Рощино, ул. Железнодорожная, д. 52а  </t>
  </si>
  <si>
    <t xml:space="preserve">Пос. Рощино, ул. Железнодорожная, д. 54  </t>
  </si>
  <si>
    <t xml:space="preserve">Г. Выборг, ул. Северная, д. 12  </t>
  </si>
  <si>
    <t xml:space="preserve">Г. Выборг, ул. Мира, д. 3  </t>
  </si>
  <si>
    <t xml:space="preserve">Г. Выборг, ул. Большая Гвардейская, д. 2  </t>
  </si>
  <si>
    <t xml:space="preserve">Г. Выборг, ул. Крепостная, д. 39  </t>
  </si>
  <si>
    <t xml:space="preserve">Г. Выборг, просп. Ленина, д. 6  </t>
  </si>
  <si>
    <t xml:space="preserve">Г. Выборг, просп. Суворова, д. 9  </t>
  </si>
  <si>
    <t xml:space="preserve">Г. Выборг, ул. 2 Речная, д. 2  </t>
  </si>
  <si>
    <t>до 1940</t>
  </si>
  <si>
    <t>Пос. Свободное, д. 180</t>
  </si>
  <si>
    <t>Пос. Пруды, ул. Заозерная, д. 5а</t>
  </si>
  <si>
    <t>Пос. Пруды, ул. Заозерная, д. 5б</t>
  </si>
  <si>
    <t>Пос. Пруды, ул. Заозерная, д. 5в</t>
  </si>
  <si>
    <t>Пос. Возрождение, д. 9</t>
  </si>
  <si>
    <t>Пос. Возрождение, д. 10</t>
  </si>
  <si>
    <t>Пос. Возрождение, д. 23</t>
  </si>
  <si>
    <t>Пос. Возрождение, д. 24</t>
  </si>
  <si>
    <t>Пос. Возрождение, д. 25</t>
  </si>
  <si>
    <t>Пос. Возрождение, д. 26</t>
  </si>
  <si>
    <t>Пос. Возрождение, д. 27</t>
  </si>
  <si>
    <t>Г. Каменногорск, ш. Леннинградское, д. 56</t>
  </si>
  <si>
    <t>Г. Каменногорск, ш. Ленинградское, д. 78</t>
  </si>
  <si>
    <t>Г. Каменногорск, ул. Железнодорожная, д. 4</t>
  </si>
  <si>
    <t>Г. Каменногорск, ул. Железнодорожная, д. 6</t>
  </si>
  <si>
    <t>Пос. Лужайка, д. 10</t>
  </si>
  <si>
    <t>Пос. Лужайка, д. 9</t>
  </si>
  <si>
    <t>Пос. Селезнево, пер. Свекловичный, д. 10</t>
  </si>
  <si>
    <t>Пос. Селезнево, ул. Центральная, д. 15</t>
  </si>
  <si>
    <t>Пос. Кондратьево, д. 1</t>
  </si>
  <si>
    <t>Пос. Кравцово, д. 3</t>
  </si>
  <si>
    <t>Г. Светогорск, ул. Красноармейская, д. 20</t>
  </si>
  <si>
    <t>Г. Светогорск, ул. Лесная, д. 5</t>
  </si>
  <si>
    <t>Г. Светогорск, ул. Гарькавого, д. 8</t>
  </si>
  <si>
    <t>Дер. Тихковицы, д. 1</t>
  </si>
  <si>
    <t>Дер. Тихковицы, д. 2</t>
  </si>
  <si>
    <t>Дер. Тихковицы, д. 3</t>
  </si>
  <si>
    <t>Дер. Тихковицы, д. 4</t>
  </si>
  <si>
    <t>Г. Гатчина, ул. Авиатриссы Зверевой, д. 20</t>
  </si>
  <si>
    <t>Г. Гатчина, просп. Красноармейский, д. 48В</t>
  </si>
  <si>
    <t>Г. Гатчина, ул. Лейтенанта Шмидта, д. 9/5</t>
  </si>
  <si>
    <t>Г. Гатчина, ул. Радищева, д. 24</t>
  </si>
  <si>
    <t>Г. Гатчина, ул. Радищева, д. 26</t>
  </si>
  <si>
    <t>Г. Гатчина, ул. Рысева, д. 57</t>
  </si>
  <si>
    <t>Г. Гатчина, ул. Рысева, д. 53</t>
  </si>
  <si>
    <t>Г. Гатчина, ул. Чехова, д. 8</t>
  </si>
  <si>
    <t>Г. Гатчина, ул. Соборная, д. 14</t>
  </si>
  <si>
    <t>Г. Гатчина, ул. К. Маркса, д. 31А</t>
  </si>
  <si>
    <t>Г. Гатчина, ул. К. Маркса, д. 49А</t>
  </si>
  <si>
    <t>Г. Гатчина, ул. Красная, д. 3А</t>
  </si>
  <si>
    <t>Г. Гатчина, ул. Новоселов, д. 5</t>
  </si>
  <si>
    <t>Г. Гатчина, ул. Новоселов, д. 6</t>
  </si>
  <si>
    <t>Г. Гатчина, ул. Рощинская, д. 20</t>
  </si>
  <si>
    <t>Г. Гатчина, ул. Рысева, д. 51</t>
  </si>
  <si>
    <t>Г. Гатчина, ул. Рысева, д. 55</t>
  </si>
  <si>
    <t>Г. Гатчина, ул. Соборная, д. 10</t>
  </si>
  <si>
    <t>Г. Гатчина, ул. Соборная, д. 20</t>
  </si>
  <si>
    <t>Г. Кингисепп, просп. Карла Маркса, д. 47</t>
  </si>
  <si>
    <t>Г. Кингисепп, просп. Карла Маркса, д. 49</t>
  </si>
  <si>
    <t>Г. Кингисепп, ул. Б. Советская, д. 25</t>
  </si>
  <si>
    <t>Г. Кингисепп, ул. Железнодорожная, д. 6</t>
  </si>
  <si>
    <t>Г. Кингисепп, ул. Театральная, д. 7</t>
  </si>
  <si>
    <t>Г. Кингисепп, ул. Театральная, д. 9</t>
  </si>
  <si>
    <t>Г. Кингисепп, ул. Малая, д. 4</t>
  </si>
  <si>
    <t>Г. Кингисепп, ул. Воровского, д. 31</t>
  </si>
  <si>
    <t>Г. Кингисепп, ул. Воровского, д. 33</t>
  </si>
  <si>
    <t>Г. Кингисепп, ул. Иванова, д. 35\29</t>
  </si>
  <si>
    <t>Г. Кингисепп, ш. Крикковское, д. 2</t>
  </si>
  <si>
    <t>г. Кингисепп, ул. Воскова, д. 27/6</t>
  </si>
  <si>
    <t>Г. Кириши, бул. Молодежный, д. 27</t>
  </si>
  <si>
    <t>Г. Кириши, бул. Плавницкий, д. 2</t>
  </si>
  <si>
    <t>Г. Кириши, просп. Ленина, д. 6</t>
  </si>
  <si>
    <t>Г. Кириши, просп. Победы, д. 3</t>
  </si>
  <si>
    <t>Г. Кириши, ул. Комсомольская, д. 2</t>
  </si>
  <si>
    <t>Г. Кириши, ул. Мира, д. 17</t>
  </si>
  <si>
    <t>Г. Кириши, ул. Мира, д. 19</t>
  </si>
  <si>
    <t>Г. Кириши, ул. Мира, д. 21</t>
  </si>
  <si>
    <t>Г. Кириши, ул. Мира, д. 23</t>
  </si>
  <si>
    <t>Г. Кириши, ул. Пионерская, д. 1</t>
  </si>
  <si>
    <t>Г. Кириши, ул. Пионерская, д. 4</t>
  </si>
  <si>
    <t>Г. Кириши, ул. Пионерская, д. 11</t>
  </si>
  <si>
    <t>Г. Кириши, ул. Романтиков, д. 1</t>
  </si>
  <si>
    <t>Г. Кириши, ул. Романтиков, д. 7</t>
  </si>
  <si>
    <t>Г. Кириши, ул. Романтиков, д. 9</t>
  </si>
  <si>
    <t>Г. Кириши, бул. Плавницкий, д. 26</t>
  </si>
  <si>
    <t>Г. Кириши, просп. Ленина, д. 17а</t>
  </si>
  <si>
    <t>Г. Кириши, ул. Советская, д. 12</t>
  </si>
  <si>
    <t>Г. Кириши, ул. Советская, д. 12а</t>
  </si>
  <si>
    <t>Г. Кириши, ул. Советская, д. 12б</t>
  </si>
  <si>
    <t>Г. Кириши, ул. Советская, д. 17</t>
  </si>
  <si>
    <t>Г. Кириши, ул. Строителей, д. 2</t>
  </si>
  <si>
    <t>Г. Кириши, ул. Строителей, д. 38</t>
  </si>
  <si>
    <t>Г. Кириши, Волховская набережная, д. 2</t>
  </si>
  <si>
    <t>Пос. Пчевжа, ул. Гагарина, д. 1</t>
  </si>
  <si>
    <t>Г. Кировск, бул. Партизанской Славы, д. 2</t>
  </si>
  <si>
    <t>Г. Кировск, ул. Горького, д. 18</t>
  </si>
  <si>
    <t>Г. Кировск, ул. Горького, д. 23</t>
  </si>
  <si>
    <t>Г. Кировск, ул. Кирова, д. 15</t>
  </si>
  <si>
    <t>Г. Кировск, ул. Кирова, д. 17</t>
  </si>
  <si>
    <t>Г. Кировск, ул. Кирова, д. 19</t>
  </si>
  <si>
    <t>Г. Кировск, ул. Кирова, д. 21</t>
  </si>
  <si>
    <t>Г. Кировск, ул. Кирова, д. 27</t>
  </si>
  <si>
    <t>Г. Кировск, ул. Краснофлотская, д. 7</t>
  </si>
  <si>
    <t>Г. Кировск, ул. Новая, д. 11</t>
  </si>
  <si>
    <t>Г. Кировск, ул. Победы, д. 11</t>
  </si>
  <si>
    <t>Г. Кировск, ул. Победы, д. 17</t>
  </si>
  <si>
    <t>Г. Кировск, ул. Пушкина, д. 6</t>
  </si>
  <si>
    <t>Г. Кировск, ул. Советская, д. 4</t>
  </si>
  <si>
    <t>Г. Кировск, ул. Советская, д. 7</t>
  </si>
  <si>
    <t>Г. Кировск, ул. Кирова, д. 6</t>
  </si>
  <si>
    <t>Г. Кировск, ул. Молодежная, д. 8</t>
  </si>
  <si>
    <t>Г. Кировск, ул. Кирова, д. 4</t>
  </si>
  <si>
    <t>Г. Кировск, ул. Пушкина, д.10/17</t>
  </si>
  <si>
    <t>Г. Кировск, ул. Советская, д. 17/13</t>
  </si>
  <si>
    <t>Пос. Назия, просп. Комсомольский, д. 8</t>
  </si>
  <si>
    <t>Пос. Назия, ул. Октябрьская, д. 7</t>
  </si>
  <si>
    <t>Пос. Назия, ул. Октябрьская, д. 9</t>
  </si>
  <si>
    <t>Пос. Назия, ул. Матросова, д. 8а</t>
  </si>
  <si>
    <t>Пос. Назия, просп. Комсомольский, д. 4</t>
  </si>
  <si>
    <t>Пос. Назия, просп. Комсомольский, д. 6</t>
  </si>
  <si>
    <t>Пос. Назия, ул. Артеменко, д. 2</t>
  </si>
  <si>
    <t>Пос. Назия, ул. Артеменко, д. 4</t>
  </si>
  <si>
    <t>Пос. Назия, просп. Школьный, д. 15</t>
  </si>
  <si>
    <t>Пос. Назия, просп. Школьный, д. 27</t>
  </si>
  <si>
    <t>Пос. Назия, ул. Октябрьская, д. 10</t>
  </si>
  <si>
    <t>Пос. Назия, ул. Вокзальная, д. 7</t>
  </si>
  <si>
    <t>Пос. Назия, ул. Строителей, д. 4</t>
  </si>
  <si>
    <t>Пос. Назия, ул. Торфяников, д. 6</t>
  </si>
  <si>
    <t>Г. Отрадное, ул. Новая, д. 6а</t>
  </si>
  <si>
    <t>Г. Отрадное, ул. Советская, д. 21</t>
  </si>
  <si>
    <t>Г. Отрадное, ул. Лесная, д. 3</t>
  </si>
  <si>
    <t>Г.п. Павлово, ул. Советская, д. 11</t>
  </si>
  <si>
    <t>Дер. Валовщина, д. 1</t>
  </si>
  <si>
    <t>Дер. Валовщина, д. 2</t>
  </si>
  <si>
    <t>Дер. Валовщина, д. 3</t>
  </si>
  <si>
    <t>Г.п. Приладожский, д. 3</t>
  </si>
  <si>
    <t>Г.п. Приладожский, д. 4</t>
  </si>
  <si>
    <t>Г.п. Приладожский, д. 6</t>
  </si>
  <si>
    <t>Г.п. Приладожский, д. 7</t>
  </si>
  <si>
    <t>Г.п. Приладожский, д. 8</t>
  </si>
  <si>
    <t>Г.п. Приладожский, д. 9</t>
  </si>
  <si>
    <t>Г. Шлиссельбург, ул. 1 Мая, д. 12</t>
  </si>
  <si>
    <t>Г. Шлиссельбург, ул. 1 Мая, д. 20</t>
  </si>
  <si>
    <t>Г. Шлиссельбург, ул. Затонная, д. 1</t>
  </si>
  <si>
    <t>Г. Шлиссельбург, ул. Затонная, д. 3</t>
  </si>
  <si>
    <t>Г. Шлиссельбург, ул. Затонная, д. 5</t>
  </si>
  <si>
    <t>Г. Шлиссельбург, ул. Затонная, д. 7</t>
  </si>
  <si>
    <t>Г. Шлиссельбург, ул. Затонная, д. 9</t>
  </si>
  <si>
    <t>Г. Шлиссельбург, ул. Затонная, д. 11</t>
  </si>
  <si>
    <t>Г. Шлиссельбург, ул. Затонная, д. 13</t>
  </si>
  <si>
    <t>Г. Шлиссельбург, ул. Затонная, д. 15</t>
  </si>
  <si>
    <t>Г. Шлиссельбург, ул. Комсомольская, д. 4</t>
  </si>
  <si>
    <t>Г. Шлиссельбург, ул. Комсомольская, д. 6</t>
  </si>
  <si>
    <t>Г. Шлиссельбург, ул. Комсомольская, д. 8</t>
  </si>
  <si>
    <t>Г. Шлиссельбург, ул. Ульянова, д. 19</t>
  </si>
  <si>
    <t>Г. Шлиссельбург, ул. Малоневский канал, д. 10</t>
  </si>
  <si>
    <t>Г. Шлиссельбург, ул. Малоневский канал, д. 14</t>
  </si>
  <si>
    <t>Г. Шлиссельбург, ул. Малоневский канал, д. 15</t>
  </si>
  <si>
    <t>Г. Шлиссельбург, ул. Малоневский канал, д. 18</t>
  </si>
  <si>
    <t>Г. Шлиссельбург, ул. Староладожский канал, д. 1</t>
  </si>
  <si>
    <t>Г. Шлиссельбург, ул. 1 Мая, д. 4</t>
  </si>
  <si>
    <t>Г. Шлиссельбург, ул. Жука, д. 5а</t>
  </si>
  <si>
    <t>Г. Лодейное Поле, ул. Талалихина, д. 6</t>
  </si>
  <si>
    <t>Г. Лодейное Поле, ул. Талалихина, д. 9</t>
  </si>
  <si>
    <t>Г. Лодейное Поле, ул. Талалихина, д. 10</t>
  </si>
  <si>
    <t>Г. Лодейное Поле, ул. Талалихина, д. 11</t>
  </si>
  <si>
    <t>Г. Лодейное Поле, ул. Ленина, д. 29</t>
  </si>
  <si>
    <t>Г. Лодейное Поле, ул. Ленина, д. 31</t>
  </si>
  <si>
    <t>Г. Лодейное Поле, ул. Ульяновская, д. 8, кор. 1</t>
  </si>
  <si>
    <t>Г. Лодейное Поле, ул. Ульяновская, д. 15, кор. 2</t>
  </si>
  <si>
    <t>Г. Лодейное Поле, ул. Володарского, д. 26</t>
  </si>
  <si>
    <t>Г. Лодейное Поле, ул. Володарского, д. 39</t>
  </si>
  <si>
    <t>Г. Лодейное Поле, ул. Титова, д. 46</t>
  </si>
  <si>
    <t>Г. Лодейное Поле, ш. Ленинградское, д. 46</t>
  </si>
  <si>
    <t>Г. Лодейное Поле, ш. Ленинградское, д. 73</t>
  </si>
  <si>
    <t>Г. Лодейное Поле, ш. Ленинградское, д. 75</t>
  </si>
  <si>
    <t>Г. Лодейное Поле, ул. Карла Маркса, д. 33</t>
  </si>
  <si>
    <t>Г. Лодейное Поле, ул. Карла Маркса, д. 33а</t>
  </si>
  <si>
    <t>Г. Лодейное Поле, ул. Карла Маркса, д. 35</t>
  </si>
  <si>
    <t>Г. Лодейное Поле, ул. Ленина, д. 42</t>
  </si>
  <si>
    <t>Г. Лодейное Поле, ул. Ленина, д. 33</t>
  </si>
  <si>
    <t>Г. Лодейное Поле, просп. Гагарина, д. 6, кор. 1</t>
  </si>
  <si>
    <t>Г. Лодейное Поле, просп. Гагарина, д. 18</t>
  </si>
  <si>
    <t>Г. Лодейное Поле, просп. Гагарина, д. 7</t>
  </si>
  <si>
    <t>Г. Лодейное Поле, ул. Талалихина, д. 8</t>
  </si>
  <si>
    <t>Г. Лодейное Поле, ул. Шмакова, д. 21</t>
  </si>
  <si>
    <t>Г. Лодейное Поле, ул. Дмитрия Арсенова, д. 1</t>
  </si>
  <si>
    <t>Г. Лодейное Поле, ул. Ударника, д. 5</t>
  </si>
  <si>
    <t>Г. Лодейное Поле, просп. Урицкого, д. 7</t>
  </si>
  <si>
    <t>Г. Лодейное Поле, ул. Талалихина, д. 7</t>
  </si>
  <si>
    <t>Панель</t>
  </si>
  <si>
    <t>Дер. Гостилицы, ул. Комсомольская, д. 10</t>
  </si>
  <si>
    <t>Дер. Гостилицы, ул. Комсомольская, д. 13</t>
  </si>
  <si>
    <t>Дер. Пеники, ул. Новая, д. 8</t>
  </si>
  <si>
    <t xml:space="preserve"> Дер. Пеники, ул. Новая, д.10</t>
  </si>
  <si>
    <t>Дер. Оржицы, д. 1</t>
  </si>
  <si>
    <t>Дер. Оржицы, д. 24</t>
  </si>
  <si>
    <t>С. Копорье, д. 5</t>
  </si>
  <si>
    <t>Дер. Ломаха, д. 1</t>
  </si>
  <si>
    <t>Дер. Ломаха, д. 2</t>
  </si>
  <si>
    <t>Дер. Лопухинка, ул. Хвойная, д. 1</t>
  </si>
  <si>
    <t>Дер. Лопухинка, ул. Хвойная, д. 2</t>
  </si>
  <si>
    <t>Дер. Лопухинка, ул. Хвойная, д. 3</t>
  </si>
  <si>
    <t>Дер. Лопухинка, ул. Хвойная, д. 4</t>
  </si>
  <si>
    <t>Дер. Лопухинка, ул. Хвойная, д. 5</t>
  </si>
  <si>
    <t>Пос. Аннино, ул. 10 Пятилетки, д. 1</t>
  </si>
  <si>
    <t>Пос. Аннино, ул. 10 Пятилетки, д. 4</t>
  </si>
  <si>
    <t>Пос. Новоселье, д. 13</t>
  </si>
  <si>
    <t>Дер. Виллози, д. 13</t>
  </si>
  <si>
    <t>х</t>
  </si>
  <si>
    <t>Пос. Дзержинского, пер. Октябрьский, д. 1</t>
  </si>
  <si>
    <t>Пос. Осьмино, ул. Ленина, д. 61</t>
  </si>
  <si>
    <t>Пос. Осьмино, ул. Ленина, д. 55</t>
  </si>
  <si>
    <t>Пос. Серебрянский, ул. Совхозная,  д. 8</t>
  </si>
  <si>
    <t>Пос. Скреблово, д. 4</t>
  </si>
  <si>
    <t>Пос. Скреблово, д. 7</t>
  </si>
  <si>
    <t>Пос. Скреблово, д. 10</t>
  </si>
  <si>
    <t>Пос. Межозерный, д. 4</t>
  </si>
  <si>
    <t>Дер. Старая Середка, д. 7</t>
  </si>
  <si>
    <t>Дер. Наволок, д. 7</t>
  </si>
  <si>
    <t>Пос. Скреблово, д. 35</t>
  </si>
  <si>
    <t xml:space="preserve">Панель </t>
  </si>
  <si>
    <t>Дер. Жельцы, д. 1</t>
  </si>
  <si>
    <t>Г.п. Толмачёво, ул. Прохорова, д. 39</t>
  </si>
  <si>
    <t>Г.п. Толмачёво, ул. Прохорова, д. 43</t>
  </si>
  <si>
    <t>Г.п. Толмачёво, ул. Толмачёва, д. 25а</t>
  </si>
  <si>
    <t>Дер. Тесовов-4, ул. 20 Съезда КПСС, д. 16</t>
  </si>
  <si>
    <t>Пос. Торковичи, ул. Торговая, д. 18</t>
  </si>
  <si>
    <t>Г. Подпорожье, просп. Ленина, д. 32</t>
  </si>
  <si>
    <t>Г. Подпорожье, ул. Волкова, д. 27</t>
  </si>
  <si>
    <t>Г. Подпорожье, просп. Ленина, д. 24</t>
  </si>
  <si>
    <t>Г. Подпорожье, просп. Ленина, д. 16</t>
  </si>
  <si>
    <t>Г. Подпорожье, ул. Свирская, д. 62</t>
  </si>
  <si>
    <t>Г. Подпорожье, ул. Гражданская, д. 31</t>
  </si>
  <si>
    <t>Г. Подпорожье, просп. Ленина, д. 27а</t>
  </si>
  <si>
    <t>Г. Приозерск, ул. Советская, д. 1</t>
  </si>
  <si>
    <t>Г. Приозерск, ул. Ленина, д. 64</t>
  </si>
  <si>
    <t>Г. Приозерск, ул. Ленина, д. 80</t>
  </si>
  <si>
    <t>Г. Приозерск, ул. Гагарина, д. 11</t>
  </si>
  <si>
    <t>Г. Приозерск, ул. Гагарина, д. 13</t>
  </si>
  <si>
    <t>Пос. Суходолье, ул. Лесная, д. 3</t>
  </si>
  <si>
    <t>Пос. Суходолье, ул. Лесная, д. 4</t>
  </si>
  <si>
    <t>Пос. Суходолье, ул. Лесная, д. 5</t>
  </si>
  <si>
    <t>Пос. Суходолье, ул. Центральная, д. 7</t>
  </si>
  <si>
    <t>Дерево</t>
  </si>
  <si>
    <t>Дер. Раздолье, ул. Центральная, д. 1</t>
  </si>
  <si>
    <t>Дер. Раздолье, ул. Центральная, д. 4</t>
  </si>
  <si>
    <t>Дер. Раздолье, ул. Центральная, д. 5</t>
  </si>
  <si>
    <t>Дер. Раздолье, ул. Центральная, д. 6</t>
  </si>
  <si>
    <t>Пос. Сосново, пер. Рабочий, д. 4</t>
  </si>
  <si>
    <t>Пос. Сосново, ул. Первомайская, д. 3</t>
  </si>
  <si>
    <t>Г. Сланцы, пер. Почтовый, д. 4</t>
  </si>
  <si>
    <t>Г. Сланцы, ул. Баранова, д. 10</t>
  </si>
  <si>
    <t>Г. Сланцы, ул. Баранова, д. 8</t>
  </si>
  <si>
    <t>Г. Сланцы, ул. Кирова, д. 25</t>
  </si>
  <si>
    <t>Г. Сланцы, ул. Кирова, д. 45</t>
  </si>
  <si>
    <t>Г. Сланцы, ул. Кирова, д. 47</t>
  </si>
  <si>
    <t>Г. Сланцы, ул. Ленина, д. 1</t>
  </si>
  <si>
    <t>Г. Сланцы, ул. Ленина, д. 10</t>
  </si>
  <si>
    <t>Г. Сланцы, ул. Ленина, д. 3</t>
  </si>
  <si>
    <t>Г. Сланцы, ул. Ленина, д. 6</t>
  </si>
  <si>
    <t>Г. Сланцы, ул. Партизанская, д. 7/2</t>
  </si>
  <si>
    <t>Г. Сланцы, ул. Чкалова, д. 3</t>
  </si>
  <si>
    <t>Г. Сланцы, ул. Чкалова, д. 6</t>
  </si>
  <si>
    <t>Г. Сланцы, ул. Маяковского, д. 2а</t>
  </si>
  <si>
    <t>Г. Сланцы, ул. 1 Мая, д. 18</t>
  </si>
  <si>
    <t>Г. Сланцы, ул. Свердлова, д. 14</t>
  </si>
  <si>
    <t>Г. Сланцы, ул. Свердлова, д. 15</t>
  </si>
  <si>
    <t>Г. Сланцы, ул. Свердлова, д. 25</t>
  </si>
  <si>
    <t>Г. Сланцы, ул. Жуковского, д. 3а</t>
  </si>
  <si>
    <t>Г. Сланцы, ул. Свободы, д. 7</t>
  </si>
  <si>
    <t>Г. Сланцы, ул. Островского, д. 11</t>
  </si>
  <si>
    <t>Г. Сланцы, пер. Почтовый, д. 11</t>
  </si>
  <si>
    <t>Г. Сланцы, ул. Кирова, д. 17</t>
  </si>
  <si>
    <t>Г. Сланцы, ул. Кирова, д. 21</t>
  </si>
  <si>
    <t>Г. Сланцы, ул. Кирова, д. 27</t>
  </si>
  <si>
    <t>Г. Сланцы, ул. Ленина, д. 7</t>
  </si>
  <si>
    <t>Г. Сланцы, ул. Партизанская, д. 27</t>
  </si>
  <si>
    <t>Г. Сланцы, ул. Партизанская, д. 5</t>
  </si>
  <si>
    <t>Г. Сланцы, ул. Спортивная, д. 3</t>
  </si>
  <si>
    <t>Г. Сланцы, ул. Спортивная, д. 5/2</t>
  </si>
  <si>
    <t>Г. Сланцы, ул. Спортивная, д. 7</t>
  </si>
  <si>
    <t>Г. Сланцы, ул. Чкалова, д. 10</t>
  </si>
  <si>
    <t>Г. Сланцы, ул. Чкалова, д. 8</t>
  </si>
  <si>
    <t>Г. Сланцы, ул. Ш. Славы, д. 7</t>
  </si>
  <si>
    <t>Дер. Загривье, д. 8</t>
  </si>
  <si>
    <t>Г. Сосновый Бор, просп. Героев, д. 11</t>
  </si>
  <si>
    <t>Г. Сосновый Бор, просп. Героев, д. 23</t>
  </si>
  <si>
    <t>Г. Сосновый Бор, ул. Солнечная, д. 25а</t>
  </si>
  <si>
    <t>Г. Сосновый Бор, ул. 50 лет Октября, д. 19</t>
  </si>
  <si>
    <t>Г. Сосновый Бор, ул. Ленинградская, д. 28</t>
  </si>
  <si>
    <t>Г. Сосновый Бор, ул. Сибирская, д. 12</t>
  </si>
  <si>
    <t>Г. Сосновый Бор, ул. Комсомольская, д. 21</t>
  </si>
  <si>
    <t>Г. Сосновый Бор, ул. Красных Фортов, д. 15</t>
  </si>
  <si>
    <t>Г. Сосновый Бор, ул. Солнечная, д. 25</t>
  </si>
  <si>
    <t>Г. Сосновый Бор, ул. Комсомольская, д. 4</t>
  </si>
  <si>
    <t>Г. Сосновый Бор, ул. Комсомольская, д. 6</t>
  </si>
  <si>
    <t>Г. Сосновый Бор, ул. Ленинградская, д. 8</t>
  </si>
  <si>
    <t>Г. Сосновый Бор, ул. Комсомольская, д. 12</t>
  </si>
  <si>
    <t>Г. Сосновый Бор, ул. Комсомольская, д. 21а</t>
  </si>
  <si>
    <t>Г. Сосновый Бор, ул. Комсомольская, д. 8</t>
  </si>
  <si>
    <t>Г. Сосновый Бор, ул. Космонавтов, д. 6</t>
  </si>
  <si>
    <t>Г. Сосновый Бор, ул. Комсомольская, д. 3</t>
  </si>
  <si>
    <t>Г. Сосновый Бор, ул. Комсомольская, д. 7</t>
  </si>
  <si>
    <t>Г. Сосновый Бор, ул. Ленинская, д. 1</t>
  </si>
  <si>
    <t>Г. Сосновый Бор, ул. Ленинская, д. 4</t>
  </si>
  <si>
    <t>Г. Сосновый Бор, ул. Ленинская, д. 5</t>
  </si>
  <si>
    <t>Г. Сосновый Бор, ул. Ленинская, д. 11</t>
  </si>
  <si>
    <t>Г. Сосновый Бор, ул. Ленинская, д. 8</t>
  </si>
  <si>
    <t>Г. Сосновый Бор, ул. Ленинская, д. 7</t>
  </si>
  <si>
    <t>Г. Сосновый Бор, ул. Ленинская, д. 3</t>
  </si>
  <si>
    <t>6,7,9</t>
  </si>
  <si>
    <t>Г. Тихвин, микрорайон 1, д. 12</t>
  </si>
  <si>
    <t>Г. Тихвин, микрорайон 1, д. 13</t>
  </si>
  <si>
    <t>Г. Тихвин, микрорайон 1, д. 14</t>
  </si>
  <si>
    <t>Г. Тихвин, микрорайон 1, д. 19</t>
  </si>
  <si>
    <t>Г. Тихвин, микрорайон 1, д. 20</t>
  </si>
  <si>
    <t>Г. Тихвин, микрорайон 1, д. 4</t>
  </si>
  <si>
    <t>Г. Тихвин, микрорайон 1, д. 5</t>
  </si>
  <si>
    <t>Г. Тихвин, микрорайон 1, д. 6</t>
  </si>
  <si>
    <t>Г. Тихвин, микрорайон 1, д. 7</t>
  </si>
  <si>
    <t>Г. Тихвин, микрорайон 1, д. 8</t>
  </si>
  <si>
    <t>Г. Тихвин, микрорайон 3, д. 1</t>
  </si>
  <si>
    <t>Г. Тихвин, микрорайон 4, д. 1</t>
  </si>
  <si>
    <t>Г. Тихвин, микрорайон 4, д. 28</t>
  </si>
  <si>
    <t>Г. Тихвин, микрорайон 4, д. 37</t>
  </si>
  <si>
    <t>Г. Тихвин, ул. Карла Маркса, д. 11</t>
  </si>
  <si>
    <t>Г. Тихвин, ул. Коммунаров, д. 4</t>
  </si>
  <si>
    <t>Г. Тихвин, микрорайон 5, д. 24</t>
  </si>
  <si>
    <t>Дер. Георгиевское, д. 1</t>
  </si>
  <si>
    <t>Г. Тосно, ул. Станиславского, д. 2</t>
  </si>
  <si>
    <t>Г. Тосно, ул. Победы, д. 11</t>
  </si>
  <si>
    <t>Г. Тосно, ул. Октябрьская, д. 77</t>
  </si>
  <si>
    <t>Г. Тосно, ул. Энергетиков, д. 5</t>
  </si>
  <si>
    <t>Дер. Новолисино, ул. Школьная, д. 15</t>
  </si>
  <si>
    <t>Г. Тосно, ш. Московское, д. 11</t>
  </si>
  <si>
    <t>Дер. Тарасово, д. 4</t>
  </si>
  <si>
    <t>Дер. Тарасово, д. 12а</t>
  </si>
  <si>
    <t>Пос. Ушаки, д. 1</t>
  </si>
  <si>
    <t>Пос. Ушаки, д. 2</t>
  </si>
  <si>
    <t>Пос. Ушаки, д. 3</t>
  </si>
  <si>
    <t>Пос. Ушаки, д. 5</t>
  </si>
  <si>
    <t>Г. Никольское, ул. Западная, д. 4</t>
  </si>
  <si>
    <t>Г. Никольское, ул. Зеленая, д. 18</t>
  </si>
  <si>
    <t>Г. Никольское, ул. Комсомольская, д. 18</t>
  </si>
  <si>
    <t>Г. Никольское, ул. Первомайская, д. 3</t>
  </si>
  <si>
    <t>Г. Никольское, ул. Школьная, д. 9</t>
  </si>
  <si>
    <t>Г. Никольское, ул. Октябрьская, д. 1</t>
  </si>
  <si>
    <t>Г.п. Рябово, ул. Школьная, д. 9</t>
  </si>
  <si>
    <t>Дер. Чудской Бор, ул. Совхозная, д. 4</t>
  </si>
  <si>
    <t>Г. Бокситогорск, ул. Заводская, д. 7/2</t>
  </si>
  <si>
    <t>№ п\п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</si>
  <si>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</si>
  <si>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</si>
  <si>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</si>
  <si>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</si>
  <si>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</si>
  <si>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</si>
  <si>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</si>
  <si>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</si>
  <si>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</si>
  <si>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ПУ и УУ</t>
  </si>
  <si>
    <t>Проектные работы</t>
  </si>
  <si>
    <t>Работы по предпроектной подготовке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</si>
  <si>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</si>
  <si>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</si>
  <si>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</si>
  <si>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</si>
  <si>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</si>
  <si>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</si>
  <si>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</si>
  <si>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ед.</t>
  </si>
  <si>
    <t>кв.м.</t>
  </si>
  <si>
    <t>куб.м.</t>
  </si>
  <si>
    <t>Бокситогорский муниципальный район</t>
  </si>
  <si>
    <t>Муниципальное образование Бокситогорское городское поселение</t>
  </si>
  <si>
    <t>Итого по муниципальному образованию</t>
  </si>
  <si>
    <t>Муниципальное образование Борское сельское поселение</t>
  </si>
  <si>
    <t>Муниципальное образование Климовское сельское поселение</t>
  </si>
  <si>
    <t>Муниципальное образование Город Пикалево</t>
  </si>
  <si>
    <t>Итого по Бокситогорскому муниципальному району</t>
  </si>
  <si>
    <t>Волосовский муниципальный район</t>
  </si>
  <si>
    <t>Муниципальное образование Волосовское городское поселение</t>
  </si>
  <si>
    <t>Муниципальное образование Сабское сельское поселение</t>
  </si>
  <si>
    <t>Итого по Волосовскому муниципальному району</t>
  </si>
  <si>
    <t>Волховский муниципальный район</t>
  </si>
  <si>
    <t>Муниципальное образование Город Волхов</t>
  </si>
  <si>
    <t>Муниципальное образование Вындиноостровское сельское поселение</t>
  </si>
  <si>
    <t>Муниципальное образование Иссадское сельское поселение</t>
  </si>
  <si>
    <t>Муниципальное образование Кисельнинское сельское поселение</t>
  </si>
  <si>
    <t>Муниципальное образование Хваловское сельское поселение</t>
  </si>
  <si>
    <t>Итого по Волховскому муниципальному району</t>
  </si>
  <si>
    <t>Всеволожский муниципальный район</t>
  </si>
  <si>
    <t>Муниципальное образование Дубровское городское поселение</t>
  </si>
  <si>
    <t>Итого по Всеволожскому муниципальному району</t>
  </si>
  <si>
    <t>Выборгский район</t>
  </si>
  <si>
    <t>Муниципальное образование Выборгское городское поселение</t>
  </si>
  <si>
    <t>Муниципальное образование Каменногорское городское поселение</t>
  </si>
  <si>
    <t>Муниципальное образование Светогорское городское поселение</t>
  </si>
  <si>
    <t>Муниципальное образование Селезневское сельское поселение</t>
  </si>
  <si>
    <t>Итого по Выборгскому району</t>
  </si>
  <si>
    <t>Муниципальное образование Город Гатчина</t>
  </si>
  <si>
    <t>Итого по Гатчинскому муниципальному району</t>
  </si>
  <si>
    <t>Кингисеппский муниципальный район</t>
  </si>
  <si>
    <t>Муниципальное образование Кингисеппское городское поселение</t>
  </si>
  <si>
    <t>Итого по Кингисеппскому муниципальному району</t>
  </si>
  <si>
    <t>Киришский муниципальный район</t>
  </si>
  <si>
    <t>Муниципальное образование Киришское городское поселение</t>
  </si>
  <si>
    <t>Итого по Киришскому муниципальному району</t>
  </si>
  <si>
    <t>Кировский муниципальный район</t>
  </si>
  <si>
    <t>Муниципальное образование Кировское городское поселение</t>
  </si>
  <si>
    <t>Муниципальное образование Назиевское городское поселение</t>
  </si>
  <si>
    <t>Муниципальное образование Отрадненское городское поселение</t>
  </si>
  <si>
    <t>Муниципальное образование Павловское городское поселение</t>
  </si>
  <si>
    <t>Муниципальное образование Приладожское городское поселение</t>
  </si>
  <si>
    <t>Муниципальное образование Путиловское сельское поселение</t>
  </si>
  <si>
    <t>Итого по Кировскому муниципальному району</t>
  </si>
  <si>
    <t>Лодейнопольский муниципальный район</t>
  </si>
  <si>
    <t>Муниципальное образование Лодейнопольское городское поселение</t>
  </si>
  <si>
    <t>Итого по Лодейнопольскому муниципальному району</t>
  </si>
  <si>
    <t>Ломоносовский муниципальный район</t>
  </si>
  <si>
    <t>Муниципальное образование Аннинское сельское поселение</t>
  </si>
  <si>
    <t>Муниципальное образование Гостилицкое сельское поселение</t>
  </si>
  <si>
    <t>Муниципальное образование Копорское сельское поселение</t>
  </si>
  <si>
    <t>Итого по Ломоносовскому муниципальному району</t>
  </si>
  <si>
    <t>Лужский муниципальный район</t>
  </si>
  <si>
    <t>Муниципальное образование Дзержинское сельское поселение</t>
  </si>
  <si>
    <t>Муниципальное образование Лужское городское поселение</t>
  </si>
  <si>
    <t>Муниципальное образование Скребловское сельское поселение</t>
  </si>
  <si>
    <t>Итого по Лужскому муниципальному району</t>
  </si>
  <si>
    <t>Подпорожский муниципальный район</t>
  </si>
  <si>
    <t>Муниципальное образование Никольское городское поселение</t>
  </si>
  <si>
    <t>Муниципальное образование Подпорожское городское поселение</t>
  </si>
  <si>
    <t>Итого по Подпорожскому муниципальному району</t>
  </si>
  <si>
    <t>Приозерский муниципальный район</t>
  </si>
  <si>
    <t>Муниципальное образование Приозерское городское поселение</t>
  </si>
  <si>
    <t>Муниципальное образование Раздольевское сельское поселение</t>
  </si>
  <si>
    <t>Муниципальное образование Ромашкинское сельское поселение</t>
  </si>
  <si>
    <t>Муниципальное образование Сосновское сельское поселение</t>
  </si>
  <si>
    <t>Итого по Приозерскому муниципальному району</t>
  </si>
  <si>
    <t>Сланцевский муниципальный район</t>
  </si>
  <si>
    <t>Муниципальное образование Сланцевское городское поселение</t>
  </si>
  <si>
    <t>Итого по Сланцевскому муниципальному району</t>
  </si>
  <si>
    <t>Муниципальное образование Сосновоборгский городской округ</t>
  </si>
  <si>
    <t>Тихвинский муниципальный район</t>
  </si>
  <si>
    <t>Муниципальное образование Тихвинское городское поселение</t>
  </si>
  <si>
    <t>Муниципальное образование Шугозерское сельское поселение</t>
  </si>
  <si>
    <t>Итого по Тихвинскому муниципальному району</t>
  </si>
  <si>
    <t>Муниципальное образование Тосненское городское поселение</t>
  </si>
  <si>
    <t>Итого по Тосненскому району</t>
  </si>
  <si>
    <t>ИТОГО по Ленинградской области</t>
  </si>
  <si>
    <t>Осуществление строительного контроля</t>
  </si>
  <si>
    <t>Итого по Ленинградской области со строительным контролем</t>
  </si>
  <si>
    <t>II. Реестр многоквартирных домов, которые подлежат капитальному ремонту в 2017 году</t>
  </si>
  <si>
    <t>Муниципальное образование Губаницкое сельское поселение</t>
  </si>
  <si>
    <t>Муниципальное образование Каложицкое сельское поселение</t>
  </si>
  <si>
    <t>Муниципальное образование Кикеринское сельское поселение</t>
  </si>
  <si>
    <t>Муниципальное образование Терпелицкое сельское поселение</t>
  </si>
  <si>
    <t>Муниципальное образование Сясьстройское городское поселение</t>
  </si>
  <si>
    <t>Муниципальное образование город Сертолово</t>
  </si>
  <si>
    <t>Муниципальное образование Рощинское сельское поселение</t>
  </si>
  <si>
    <t>Гатчинский муниципльный район</t>
  </si>
  <si>
    <t>Муниципальное образование Пустомежское сельское поселение</t>
  </si>
  <si>
    <t>Муниципальное образование Пчевжинскоее сельское поселение</t>
  </si>
  <si>
    <t>город Кировск</t>
  </si>
  <si>
    <t>Муниципальное образование Шлиссельбургское городское поселение</t>
  </si>
  <si>
    <t>Муниципальное образование Виллозское сельское поселение</t>
  </si>
  <si>
    <t>Муниципальное образование Пениковское сельское поселение</t>
  </si>
  <si>
    <t>Муниципальное образование Оржицкое сельское поселение</t>
  </si>
  <si>
    <t>Муниципальное образование Лопухинское сельское поселение</t>
  </si>
  <si>
    <t>Муниципальное образование Осьминское сельское поселение</t>
  </si>
  <si>
    <t>Муниципальное образование Серебрянское сельское поселение</t>
  </si>
  <si>
    <t>Муниципальное образование Толмачевское городское поселение</t>
  </si>
  <si>
    <t>Муниципальное образование Тесовское сельское поселение</t>
  </si>
  <si>
    <t>Итого по муниципаьному району</t>
  </si>
  <si>
    <t>Муниципальное образование Мичуринское сельское поселение</t>
  </si>
  <si>
    <t>Муниципальное образование Загривское сельское поселение</t>
  </si>
  <si>
    <t>Муниципальное образование Рябовское городское поселение</t>
  </si>
  <si>
    <t>Муниципальное образование Трубникоборское сельское поселение</t>
  </si>
  <si>
    <t>Прочие</t>
  </si>
  <si>
    <t>I. Перечень многоквратирных домов, которые подлежат капитальному ремонту в 2017 году</t>
  </si>
  <si>
    <t>Муниципальное образование Ефимовское городское поселение</t>
  </si>
  <si>
    <t>Г.п. Ефимовский, микрорайон 1, д. 10</t>
  </si>
  <si>
    <t>Муниципальное образование Большеврудское сельское поселение</t>
  </si>
  <si>
    <t>Г. Сланцы, ул. Ленина, д. 2</t>
  </si>
  <si>
    <t>Муниципальное образование Торковичское сельское поселение</t>
  </si>
  <si>
    <t>пос. Дзержинского, пер. Октябрьский, д. 2</t>
  </si>
  <si>
    <t>Г. Бокситогорск, ул. Вишнякова, д. 2/1</t>
  </si>
  <si>
    <t>Г. Бокситогорск, ул. Заводская, д. 6а</t>
  </si>
  <si>
    <t>Г. Бокситогорск, ул. Садовая, д. 20</t>
  </si>
  <si>
    <t>Г. Бокситогорск, ул. Садовая, д. 22</t>
  </si>
  <si>
    <t>Муниципальное образование Агалатовское городское поселение</t>
  </si>
  <si>
    <t xml:space="preserve">Дер. Агалатово, Военный городок, д. 111  </t>
  </si>
  <si>
    <t xml:space="preserve">Дер. Агалатово, Военный городок, д. 127  </t>
  </si>
  <si>
    <t xml:space="preserve">Дер. Агалатово, Военный городок, д. 128  </t>
  </si>
  <si>
    <t xml:space="preserve">Г. Сертолово, микрорайон Черная Речка, д. 4  </t>
  </si>
  <si>
    <t xml:space="preserve">Г. Сертолово, ул. Ларина, д. 5  </t>
  </si>
  <si>
    <t xml:space="preserve">Г. Сертолово, ул. Ларина, д. 6  </t>
  </si>
  <si>
    <t>Муниципальное образование Токсовское городское поселение</t>
  </si>
  <si>
    <t>Пос. Токсово, ул. Инженерная, д. 1А</t>
  </si>
  <si>
    <t>Пос. Токсово, ул. Инженерная, д. 2</t>
  </si>
  <si>
    <t>Пос. Токсово, ул. Инженерная, д. 2А</t>
  </si>
  <si>
    <t xml:space="preserve">Г. Выборг, ул. Крепостная, д. 49  </t>
  </si>
  <si>
    <t xml:space="preserve">Г. Выборг, ул. Некрасова, д. 9  </t>
  </si>
  <si>
    <t xml:space="preserve">Г. Выборг, ул. Первомайская, д. 6  </t>
  </si>
  <si>
    <t>Г. Гатчина, просп. 25 Октября, д. 23</t>
  </si>
  <si>
    <t>Г. Гатчина, просп. 25 Октября, д. 33</t>
  </si>
  <si>
    <t>Г. Гатчина, просп. Красноармейский, д. 15</t>
  </si>
  <si>
    <t>Г. Гатчина, просп. Красноармейский, д. 32</t>
  </si>
  <si>
    <t>Г. Гатчина, просп. Красноармейский, д. 46</t>
  </si>
  <si>
    <t>Г. Гатчина, просп. Красноармейский, д. 48</t>
  </si>
  <si>
    <t>Г. Гатчина, просп. Красноармейский, д. 48Б</t>
  </si>
  <si>
    <t>Г. Гатчина, ул. Володарского, д. 8А</t>
  </si>
  <si>
    <t>Г. Гатчина, ул. Герцена, д. 25А</t>
  </si>
  <si>
    <t>Г. Гатчина, ул. Григорина, д. 4</t>
  </si>
  <si>
    <t>Г. Гатчина, ул. К. Маркса, д. 11</t>
  </si>
  <si>
    <t>Г. Гатчина, ул. К. Маркса, д. 12/5</t>
  </si>
  <si>
    <t>Г. Гатчина, ул. К. Маркса, д. 14А</t>
  </si>
  <si>
    <t>Г. Гатчина, ул. К. Маркса, д. 5</t>
  </si>
  <si>
    <t>Г. Гатчина, ул. Киргетова, д. 6</t>
  </si>
  <si>
    <t>Г. Гатчина, ул. Красная, д. 3</t>
  </si>
  <si>
    <t>Г. Гатчина, ул. Рошаля, д. 16</t>
  </si>
  <si>
    <t>Г. Гатчина, ул. Соборная, д. 28В</t>
  </si>
  <si>
    <t>Г. Гатчина, ул. Урицкого, д. 23</t>
  </si>
  <si>
    <t>Г. Гатчина, ул. Урицкого, д. 30</t>
  </si>
  <si>
    <t>Муниципальное образование Кобринское сельское поселение</t>
  </si>
  <si>
    <t>Пос. Кобринское, ул. Центральная, д. 24</t>
  </si>
  <si>
    <t>Муниципальное образование Кусинское сельское поселение</t>
  </si>
  <si>
    <t>Дер. Кусино, ул. Центральная, д. 2</t>
  </si>
  <si>
    <t>Дер. Кусино, ул. Центральная, д. 3</t>
  </si>
  <si>
    <t>Дер. Кусино, ул. Центральная, д. 4</t>
  </si>
  <si>
    <t>Пос. Пчевжа, ул. 2 Набережная, д. 18</t>
  </si>
  <si>
    <t>Г. Кировск, ул. Победы, д. 7</t>
  </si>
  <si>
    <t>Г. Кировск, ул. Пушкина, д. 8</t>
  </si>
  <si>
    <t>Пос. Назия, ул. Матросова, д. 24</t>
  </si>
  <si>
    <t>С. Путилово, ул. Братьев Пожарских, д. 22</t>
  </si>
  <si>
    <t>Г. Шлиссельбург, ул. 1 Мая, д. 8</t>
  </si>
  <si>
    <t>Г. Лодейное Поле, ул. Набережная, д. 17, кор. 2</t>
  </si>
  <si>
    <t>Г. Лодейное Поле, ул. Талалихина, д. 1</t>
  </si>
  <si>
    <t>Г. Лодейное Поле, ул. Талалихина, д. 5</t>
  </si>
  <si>
    <t>Пос. Аннино, ул. 10 Пятилетки, д. 6</t>
  </si>
  <si>
    <t>Дер. Сойкино, д. 40</t>
  </si>
  <si>
    <t>Дер. Сойкино, д. 42</t>
  </si>
  <si>
    <t>Муниципальное образование Гостицкое сельское поселение</t>
  </si>
  <si>
    <t>Г. Тихвин, микрорайон 1, д. 10</t>
  </si>
  <si>
    <t>Г. Тихвин, микрорайон 1, д. 11</t>
  </si>
  <si>
    <t>Г. Тихвин, ул. Борисова, д. 2</t>
  </si>
  <si>
    <t>Муниципальное образование Красноборское городское поселение</t>
  </si>
  <si>
    <t>Г.п. Красный Бор, ул. Комсомольская, д. 4</t>
  </si>
  <si>
    <t>Муниципальное образование Ульяновское сельское поселение</t>
  </si>
  <si>
    <t>Г.п. Ульяновка, ул. Вокзальная, д. 5/2</t>
  </si>
  <si>
    <t>Региональный оператор (далее - РО)</t>
  </si>
  <si>
    <t>РО</t>
  </si>
  <si>
    <t>Г. Каменногорск, ш. Леннинградское, д. 40а</t>
  </si>
  <si>
    <t>Г. Волхов, ул. Волгоградская, д. 19</t>
  </si>
  <si>
    <t>Г. Волхов, ул. Дзержинского, д. 18</t>
  </si>
  <si>
    <t>Г. Волхов, ул. Вали Голубевой, д. 17</t>
  </si>
  <si>
    <t>Г. Гатчина, просп. Красноармейский, д. 4А</t>
  </si>
  <si>
    <t xml:space="preserve">Г. Гатчина, просп. Красноармейский, д.8 </t>
  </si>
  <si>
    <t>Г. Гатчина, просп. Красноармейский, д. 14</t>
  </si>
  <si>
    <t>Г. Гатчина, просп. Красноармейский, д.26</t>
  </si>
  <si>
    <t>Г. Гатчина, просп. Красноармейский, д. 42</t>
  </si>
  <si>
    <t>Г. Гатчина, просп. Красноармейский, д. 44</t>
  </si>
  <si>
    <t>Г. Гатчина, ул. Григорина, д. 7</t>
  </si>
  <si>
    <t>Г. Гатчина, ул. Киевская, д. 6</t>
  </si>
  <si>
    <t>Г. Гатчина, ул. Киевская, д. 8</t>
  </si>
  <si>
    <t>Г. Гатчина, ул. Киевская, д. 9/2</t>
  </si>
  <si>
    <t>Г. Кириши, просп. Ленина, д. 17в</t>
  </si>
  <si>
    <t>С. Путилово, ул. Братьев Пожарских, д. 23</t>
  </si>
  <si>
    <t>Г. Сосновый Бор, просп. Героев, д. 53</t>
  </si>
  <si>
    <t>Г. Сосновый Бор, ул. Высотная, д. 1</t>
  </si>
  <si>
    <t>Г. Сосновый Бор, ул. 50 лет Октября, д. 17</t>
  </si>
  <si>
    <t>Г. Сосновый Бор, ул. Солнечная, д. 3</t>
  </si>
  <si>
    <t>Г. Сосновый Бор, ул. Машиностроителей, д. 6</t>
  </si>
  <si>
    <t>Г. Сосновый Бор, ул. Молодежная, д. 39</t>
  </si>
  <si>
    <t>Г. Сосновый Бор, ул. Молодежная, д. 41</t>
  </si>
  <si>
    <t>Г. Луга, Городок, д. 5/298</t>
  </si>
  <si>
    <t>Г. Луга, ул. Киевская, д. 74</t>
  </si>
  <si>
    <t>Г. Луга, Городок, д. 5/272</t>
  </si>
  <si>
    <t>Г. Луга, ул. Красноармейская, д. 36</t>
  </si>
  <si>
    <t>Г. Луга, ул. Красноармейская, д. 38</t>
  </si>
  <si>
    <t>Г. Луга, ул. Победы, д. 9</t>
  </si>
  <si>
    <t>Г. Луга-2, ул. Мелиораторов, д. 9а</t>
  </si>
  <si>
    <t>Г. Луга, ул. Киевская, д. 53</t>
  </si>
  <si>
    <t>г. Выборг, ул. Приморская, д.15</t>
  </si>
  <si>
    <t>Гатчинский муниципальный район</t>
  </si>
  <si>
    <t>Г. Сертолово, ул. Кленовая, д. 5, кор. 1</t>
  </si>
  <si>
    <t>Г. Сертолово, ул. Ларина, д. 2</t>
  </si>
  <si>
    <t>Г. Сертолово, ул. Центральная, д. 7, корп. 2</t>
  </si>
  <si>
    <t>Г. Новая Ладога, ул. Гражданская, д. 8</t>
  </si>
  <si>
    <t>Г. Новая Ладога, ул. Пролетарский канал, д. 2</t>
  </si>
  <si>
    <t>Г. Новая Ладога, микрорайон Южный, д. 22</t>
  </si>
  <si>
    <t>Дерево/кирпич</t>
  </si>
  <si>
    <t>Г. Сясьстрой, ул. 1 Мая, д. 35</t>
  </si>
  <si>
    <t>Муниципальное образование Новоладожское городское поселение</t>
  </si>
  <si>
    <t xml:space="preserve">Г. Сертолово, микрорайон Черная Речка, д. 2  </t>
  </si>
  <si>
    <t xml:space="preserve">Г. Сертолово, микрорайон Черная Речка, д. 1  </t>
  </si>
  <si>
    <t xml:space="preserve">Г. Выборг, просп. Московский, д. 7  </t>
  </si>
  <si>
    <t>Муниципальное образование Большеколпанское сельское поселение</t>
  </si>
  <si>
    <t>Кирпич/дерево</t>
  </si>
  <si>
    <t>Г. Гатчина, просп. Красноармейский, д. 26</t>
  </si>
  <si>
    <t>Дер. Жельцы д.2</t>
  </si>
  <si>
    <t>Дер. Жельцы д.3</t>
  </si>
  <si>
    <t>Г. Тихвин, ул. Коммунаров, д. 8</t>
  </si>
  <si>
    <t>Г. Тихвин, ул. Красная, д. 14</t>
  </si>
  <si>
    <t>Г. Тихвин, ул. Красная, д. 9б</t>
  </si>
  <si>
    <t>Г. Тихвин, ул. Московская, д. 5</t>
  </si>
  <si>
    <t>Г. Тихвин, ул. Орловская, д. 2</t>
  </si>
  <si>
    <t>Г. Тихвин, ул. Орловская, д. 4</t>
  </si>
  <si>
    <t>Г. Тихвин, ул. Плаунская, д. 5</t>
  </si>
  <si>
    <t>Г. Тихвин, ул. Плаунская, д. 7</t>
  </si>
  <si>
    <t>Г. Тихвин, ул. Советская, д. 71</t>
  </si>
  <si>
    <t>Г. Тихвин, ул. Труда, д. 26</t>
  </si>
  <si>
    <t>Г. Тихвин, ул. Труда, д. 27</t>
  </si>
  <si>
    <t>Г. Тихвин, ул. Труда, д. 52</t>
  </si>
  <si>
    <t>Пос. Красава, ул. Комсомольская, д. 6</t>
  </si>
  <si>
    <t>Пос. Красава, ул. Комсомольская, д. 9а</t>
  </si>
  <si>
    <t>Пос. Красава, ул. Вокзальная, д. 4</t>
  </si>
  <si>
    <t>Пос. Шугозеро, ул. Красноармейская, д. 4</t>
  </si>
  <si>
    <t>С. Ушаки, пр. Кирова, д. 222</t>
  </si>
  <si>
    <t>С. Ушаки, д. 10</t>
  </si>
  <si>
    <t>Спецсчет</t>
  </si>
  <si>
    <t>30.12.2018</t>
  </si>
  <si>
    <t>ИТОГО по Ленинградской области со строительным контролем</t>
  </si>
  <si>
    <t>Кировский  муниципальный район</t>
  </si>
  <si>
    <t>Г. Пикалево, микрорайон 6, д. 11</t>
  </si>
  <si>
    <t>Г. Пикалево, микрорайон 6, д. 17</t>
  </si>
  <si>
    <t>Г. Пикалево, микрорайон 6, д. 25</t>
  </si>
  <si>
    <t>Г. Пикалево, микрорайон 6, д. 36</t>
  </si>
  <si>
    <t>Краткосрочный план реализации в 2017 году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</si>
  <si>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Пос. Сельхозтехника, д. 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</si>
</sst>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  <numFmt numFmtId="175" formatCode="#,##0.000"/>
    <numFmt numFmtId="176" formatCode="#,##0.0000"/>
    <numFmt numFmtId="177" formatCode="###\ ###\ ###\ ##0"/>
    <numFmt numFmtId="178" formatCode="###\ ###\ ###\ ##0.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>
        <color indexed="63"/>
      </bottom>
    </border>
    <border>
      <left/>
      <right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1">
    <xf numFmtId="0" fontId="0" fillId="0" borderId="0" xfId="0" applyFont="1" applyAlignment="1">
      <alignment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 vertical="center"/>
    </xf>
    <xf numFmtId="0" fontId="7" fillId="33" borderId="10" xfId="64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/>
    </xf>
    <xf numFmtId="4" fontId="7" fillId="33" borderId="0" xfId="0" applyNumberFormat="1" applyFont="1" applyFill="1" applyAlignment="1">
      <alignment horizontal="right" vertical="center" inden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/>
    </xf>
    <xf numFmtId="4" fontId="7" fillId="33" borderId="0" xfId="0" applyNumberFormat="1" applyFont="1" applyFill="1" applyAlignment="1">
      <alignment vertical="center"/>
    </xf>
    <xf numFmtId="0" fontId="7" fillId="33" borderId="10" xfId="0" applyFont="1" applyFill="1" applyBorder="1" applyAlignment="1">
      <alignment horizontal="left" vertical="top" wrapText="1"/>
    </xf>
    <xf numFmtId="4" fontId="7" fillId="33" borderId="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/>
    </xf>
    <xf numFmtId="4" fontId="7" fillId="33" borderId="10" xfId="97" applyNumberFormat="1" applyFont="1" applyFill="1" applyBorder="1" applyAlignment="1">
      <alignment horizontal="center" vertical="center" wrapText="1"/>
      <protection/>
    </xf>
    <xf numFmtId="4" fontId="7" fillId="33" borderId="10" xfId="60" applyNumberFormat="1" applyFont="1" applyFill="1" applyBorder="1" applyAlignment="1">
      <alignment horizontal="center" vertical="center"/>
      <protection/>
    </xf>
    <xf numFmtId="3" fontId="6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 shrinkToFit="1"/>
    </xf>
    <xf numFmtId="4" fontId="6" fillId="33" borderId="0" xfId="0" applyNumberFormat="1" applyFont="1" applyFill="1" applyBorder="1" applyAlignment="1">
      <alignment horizontal="right" vertical="center" wrapText="1" indent="1"/>
    </xf>
    <xf numFmtId="4" fontId="6" fillId="33" borderId="0" xfId="0" applyNumberFormat="1" applyFont="1" applyFill="1" applyBorder="1" applyAlignment="1">
      <alignment horizontal="right" vertical="center" indent="1"/>
    </xf>
    <xf numFmtId="4" fontId="7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>
      <alignment vertical="center"/>
    </xf>
    <xf numFmtId="173" fontId="7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/>
    </xf>
    <xf numFmtId="4" fontId="7" fillId="33" borderId="10" xfId="0" applyNumberFormat="1" applyFont="1" applyFill="1" applyBorder="1" applyAlignment="1" applyProtection="1">
      <alignment horizontal="center" vertical="center"/>
      <protection locked="0"/>
    </xf>
    <xf numFmtId="4" fontId="7" fillId="33" borderId="10" xfId="60" applyNumberFormat="1" applyFont="1" applyFill="1" applyBorder="1" applyAlignment="1">
      <alignment horizontal="center" vertical="center" wrapText="1"/>
      <protection/>
    </xf>
    <xf numFmtId="4" fontId="7" fillId="33" borderId="10" xfId="0" applyNumberFormat="1" applyFont="1" applyFill="1" applyBorder="1" applyAlignment="1">
      <alignment vertical="center"/>
    </xf>
    <xf numFmtId="3" fontId="7" fillId="33" borderId="10" xfId="69" applyNumberFormat="1" applyFont="1" applyFill="1" applyBorder="1" applyAlignment="1">
      <alignment horizontal="center" vertical="center"/>
      <protection/>
    </xf>
    <xf numFmtId="4" fontId="7" fillId="33" borderId="10" xfId="69" applyNumberFormat="1" applyFont="1" applyFill="1" applyBorder="1" applyAlignment="1">
      <alignment horizontal="center" vertical="center"/>
      <protection/>
    </xf>
    <xf numFmtId="3" fontId="7" fillId="33" borderId="10" xfId="0" applyNumberFormat="1" applyFont="1" applyFill="1" applyBorder="1" applyAlignment="1" applyProtection="1">
      <alignment horizontal="center" vertical="center"/>
      <protection/>
    </xf>
    <xf numFmtId="4" fontId="7" fillId="33" borderId="10" xfId="60" applyNumberFormat="1" applyFont="1" applyFill="1" applyBorder="1" applyAlignment="1" applyProtection="1">
      <alignment horizontal="center" vertical="center"/>
      <protection/>
    </xf>
    <xf numFmtId="4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vertical="center"/>
    </xf>
    <xf numFmtId="4" fontId="7" fillId="33" borderId="12" xfId="0" applyNumberFormat="1" applyFont="1" applyFill="1" applyBorder="1" applyAlignment="1">
      <alignment vertical="center"/>
    </xf>
    <xf numFmtId="0" fontId="7" fillId="33" borderId="10" xfId="64" applyFont="1" applyFill="1" applyBorder="1" applyAlignment="1">
      <alignment/>
      <protection/>
    </xf>
    <xf numFmtId="1" fontId="7" fillId="33" borderId="10" xfId="0" applyNumberFormat="1" applyFont="1" applyFill="1" applyBorder="1" applyAlignment="1">
      <alignment horizontal="center" vertical="center" wrapText="1"/>
    </xf>
    <xf numFmtId="3" fontId="7" fillId="33" borderId="10" xfId="69" applyNumberFormat="1" applyFont="1" applyFill="1" applyBorder="1" applyAlignment="1">
      <alignment horizontal="center" vertical="center" wrapText="1"/>
      <protection/>
    </xf>
    <xf numFmtId="0" fontId="1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/>
    </xf>
    <xf numFmtId="0" fontId="9" fillId="33" borderId="0" xfId="0" applyNumberFormat="1" applyFont="1" applyFill="1" applyBorder="1" applyAlignment="1" applyProtection="1">
      <alignment/>
      <protection/>
    </xf>
    <xf numFmtId="4" fontId="6" fillId="33" borderId="0" xfId="0" applyNumberFormat="1" applyFont="1" applyFill="1" applyBorder="1" applyAlignment="1">
      <alignment vertical="center" wrapText="1"/>
    </xf>
    <xf numFmtId="4" fontId="7" fillId="33" borderId="0" xfId="0" applyNumberFormat="1" applyFont="1" applyFill="1" applyBorder="1" applyAlignment="1">
      <alignment vertical="center" wrapText="1"/>
    </xf>
    <xf numFmtId="4" fontId="7" fillId="33" borderId="10" xfId="67" applyNumberFormat="1" applyFont="1" applyFill="1" applyBorder="1" applyAlignment="1">
      <alignment horizontal="center" vertical="center"/>
      <protection/>
    </xf>
    <xf numFmtId="0" fontId="7" fillId="33" borderId="10" xfId="0" applyFont="1" applyFill="1" applyBorder="1" applyAlignment="1">
      <alignment vertical="top" wrapText="1"/>
    </xf>
    <xf numFmtId="0" fontId="7" fillId="33" borderId="10" xfId="64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/>
    </xf>
    <xf numFmtId="3" fontId="6" fillId="33" borderId="10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/>
    </xf>
    <xf numFmtId="173" fontId="6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vertical="center" wrapText="1"/>
    </xf>
    <xf numFmtId="3" fontId="7" fillId="33" borderId="10" xfId="0" applyNumberFormat="1" applyFont="1" applyFill="1" applyBorder="1" applyAlignment="1">
      <alignment horizontal="center" vertical="center" wrapText="1" shrinkToFit="1"/>
    </xf>
    <xf numFmtId="0" fontId="7" fillId="33" borderId="10" xfId="0" applyFont="1" applyFill="1" applyBorder="1" applyAlignment="1">
      <alignment horizontal="center" vertical="center" wrapText="1" shrinkToFit="1"/>
    </xf>
    <xf numFmtId="4" fontId="7" fillId="33" borderId="10" xfId="0" applyNumberFormat="1" applyFont="1" applyFill="1" applyBorder="1" applyAlignment="1">
      <alignment horizontal="center" wrapText="1"/>
    </xf>
    <xf numFmtId="4" fontId="7" fillId="33" borderId="10" xfId="64" applyNumberFormat="1" applyFont="1" applyFill="1" applyBorder="1" applyAlignment="1" quotePrefix="1">
      <alignment horizontal="center" vertical="center" wrapText="1"/>
      <protection/>
    </xf>
    <xf numFmtId="0" fontId="7" fillId="33" borderId="10" xfId="64" applyFont="1" applyFill="1" applyBorder="1" applyAlignment="1" quotePrefix="1">
      <alignment horizontal="center" vertical="center"/>
      <protection/>
    </xf>
    <xf numFmtId="177" fontId="7" fillId="33" borderId="10" xfId="0" applyNumberFormat="1" applyFont="1" applyFill="1" applyBorder="1" applyAlignment="1">
      <alignment horizontal="center" vertical="center"/>
    </xf>
    <xf numFmtId="4" fontId="7" fillId="33" borderId="10" xfId="64" applyNumberFormat="1" applyFont="1" applyFill="1" applyBorder="1" applyAlignment="1">
      <alignment horizontal="center" vertical="center" wrapText="1"/>
      <protection/>
    </xf>
    <xf numFmtId="0" fontId="7" fillId="33" borderId="10" xfId="67" applyFont="1" applyFill="1" applyBorder="1" applyAlignment="1">
      <alignment horizontal="center" vertical="center"/>
      <protection/>
    </xf>
    <xf numFmtId="0" fontId="7" fillId="33" borderId="10" xfId="67" applyFont="1" applyFill="1" applyBorder="1" applyAlignment="1" quotePrefix="1">
      <alignment horizontal="center" vertical="center"/>
      <protection/>
    </xf>
    <xf numFmtId="3" fontId="7" fillId="33" borderId="10" xfId="67" applyNumberFormat="1" applyFont="1" applyFill="1" applyBorder="1" applyAlignment="1">
      <alignment horizontal="center" vertical="center"/>
      <protection/>
    </xf>
    <xf numFmtId="0" fontId="7" fillId="33" borderId="10" xfId="64" applyFont="1" applyFill="1" applyBorder="1" applyAlignment="1">
      <alignment horizontal="center" vertical="center"/>
      <protection/>
    </xf>
    <xf numFmtId="4" fontId="7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63" applyFont="1" applyFill="1" applyBorder="1" applyAlignment="1">
      <alignment horizontal="center" vertical="center"/>
      <protection/>
    </xf>
    <xf numFmtId="0" fontId="7" fillId="33" borderId="10" xfId="63" applyFont="1" applyFill="1" applyBorder="1" applyAlignment="1">
      <alignment horizontal="center" vertical="center" wrapText="1"/>
      <protection/>
    </xf>
    <xf numFmtId="4" fontId="7" fillId="33" borderId="10" xfId="63" applyNumberFormat="1" applyFont="1" applyFill="1" applyBorder="1" applyAlignment="1">
      <alignment horizontal="center" vertical="center"/>
      <protection/>
    </xf>
    <xf numFmtId="3" fontId="7" fillId="33" borderId="10" xfId="63" applyNumberFormat="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/>
    </xf>
    <xf numFmtId="0" fontId="7" fillId="33" borderId="10" xfId="64" applyFont="1" applyFill="1" applyBorder="1" applyAlignment="1">
      <alignment horizontal="left" vertical="center" wrapText="1"/>
      <protection/>
    </xf>
    <xf numFmtId="1" fontId="7" fillId="33" borderId="10" xfId="0" applyNumberFormat="1" applyFont="1" applyFill="1" applyBorder="1" applyAlignment="1" applyProtection="1">
      <alignment horizontal="center" vertical="center"/>
      <protection/>
    </xf>
    <xf numFmtId="4" fontId="6" fillId="33" borderId="0" xfId="0" applyNumberFormat="1" applyFont="1" applyFill="1" applyAlignment="1">
      <alignment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left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7" fillId="33" borderId="12" xfId="0" applyNumberFormat="1" applyFont="1" applyFill="1" applyBorder="1" applyAlignment="1">
      <alignment horizontal="left" vertical="center"/>
    </xf>
    <xf numFmtId="4" fontId="6" fillId="33" borderId="10" xfId="69" applyNumberFormat="1" applyFont="1" applyFill="1" applyBorder="1" applyAlignment="1">
      <alignment horizontal="center" vertical="center"/>
      <protection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0" xfId="69" applyNumberFormat="1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>
      <alignment horizontal="left" vertical="center" wrapText="1"/>
    </xf>
    <xf numFmtId="4" fontId="6" fillId="33" borderId="10" xfId="69" applyNumberFormat="1" applyFont="1" applyFill="1" applyBorder="1" applyAlignment="1">
      <alignment horizontal="left" vertical="center" wrapText="1"/>
      <protection/>
    </xf>
    <xf numFmtId="2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6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6" fillId="33" borderId="11" xfId="69" applyNumberFormat="1" applyFont="1" applyFill="1" applyBorder="1" applyAlignment="1">
      <alignment horizontal="center" vertical="center" wrapText="1"/>
      <protection/>
    </xf>
    <xf numFmtId="4" fontId="6" fillId="33" borderId="14" xfId="69" applyNumberFormat="1" applyFont="1" applyFill="1" applyBorder="1" applyAlignment="1">
      <alignment horizontal="center" vertical="center" wrapText="1"/>
      <protection/>
    </xf>
    <xf numFmtId="4" fontId="6" fillId="33" borderId="12" xfId="69" applyNumberFormat="1" applyFont="1" applyFill="1" applyBorder="1" applyAlignment="1">
      <alignment horizontal="center" vertical="center" wrapText="1"/>
      <protection/>
    </xf>
    <xf numFmtId="4" fontId="7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left" vertical="center"/>
    </xf>
    <xf numFmtId="4" fontId="7" fillId="33" borderId="11" xfId="0" applyNumberFormat="1" applyFont="1" applyFill="1" applyBorder="1" applyAlignment="1">
      <alignment horizontal="left" vertical="center"/>
    </xf>
    <xf numFmtId="4" fontId="7" fillId="33" borderId="12" xfId="0" applyNumberFormat="1" applyFont="1" applyFill="1" applyBorder="1" applyAlignment="1">
      <alignment horizontal="left" vertical="center"/>
    </xf>
    <xf numFmtId="4" fontId="6" fillId="33" borderId="11" xfId="0" applyNumberFormat="1" applyFont="1" applyFill="1" applyBorder="1" applyAlignment="1">
      <alignment horizontal="left" vertical="center"/>
    </xf>
    <xf numFmtId="4" fontId="6" fillId="33" borderId="12" xfId="0" applyNumberFormat="1" applyFont="1" applyFill="1" applyBorder="1" applyAlignment="1">
      <alignment horizontal="left" vertical="center"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left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6" fillId="33" borderId="14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left" vertical="center"/>
    </xf>
    <xf numFmtId="49" fontId="6" fillId="33" borderId="14" xfId="0" applyNumberFormat="1" applyFont="1" applyFill="1" applyBorder="1" applyAlignment="1">
      <alignment horizontal="left" vertical="center"/>
    </xf>
    <xf numFmtId="49" fontId="6" fillId="33" borderId="12" xfId="0" applyNumberFormat="1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>
      <alignment horizontal="left" vertical="center" wrapText="1"/>
    </xf>
    <xf numFmtId="4" fontId="7" fillId="33" borderId="11" xfId="69" applyNumberFormat="1" applyFont="1" applyFill="1" applyBorder="1" applyAlignment="1">
      <alignment horizontal="left" vertical="center" wrapText="1"/>
      <protection/>
    </xf>
    <xf numFmtId="4" fontId="7" fillId="33" borderId="12" xfId="69" applyNumberFormat="1" applyFont="1" applyFill="1" applyBorder="1" applyAlignment="1">
      <alignment horizontal="left" vertical="center" wrapText="1"/>
      <protection/>
    </xf>
    <xf numFmtId="4" fontId="6" fillId="33" borderId="11" xfId="0" applyNumberFormat="1" applyFont="1" applyFill="1" applyBorder="1" applyAlignment="1">
      <alignment horizontal="left" vertical="center" wrapText="1"/>
    </xf>
    <xf numFmtId="4" fontId="6" fillId="33" borderId="14" xfId="0" applyNumberFormat="1" applyFont="1" applyFill="1" applyBorder="1" applyAlignment="1">
      <alignment horizontal="left" vertical="center" wrapText="1"/>
    </xf>
    <xf numFmtId="4" fontId="6" fillId="33" borderId="12" xfId="0" applyNumberFormat="1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1" xfId="69" applyNumberFormat="1" applyFont="1" applyFill="1" applyBorder="1" applyAlignment="1">
      <alignment horizontal="left" vertical="center" wrapText="1"/>
      <protection/>
    </xf>
    <xf numFmtId="4" fontId="6" fillId="33" borderId="14" xfId="69" applyNumberFormat="1" applyFont="1" applyFill="1" applyBorder="1" applyAlignment="1">
      <alignment horizontal="left" vertical="center" wrapText="1"/>
      <protection/>
    </xf>
    <xf numFmtId="4" fontId="7" fillId="33" borderId="10" xfId="0" applyNumberFormat="1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7" fillId="33" borderId="10" xfId="69" applyNumberFormat="1" applyFont="1" applyFill="1" applyBorder="1" applyAlignment="1">
      <alignment horizontal="left" vertical="center" wrapText="1"/>
      <protection/>
    </xf>
    <xf numFmtId="4" fontId="6" fillId="33" borderId="12" xfId="69" applyNumberFormat="1" applyFont="1" applyFill="1" applyBorder="1" applyAlignment="1">
      <alignment horizontal="left" vertical="center" wrapText="1"/>
      <protection/>
    </xf>
    <xf numFmtId="4" fontId="6" fillId="33" borderId="10" xfId="69" applyNumberFormat="1" applyFont="1" applyFill="1" applyBorder="1" applyAlignment="1">
      <alignment horizontal="left" vertical="center"/>
      <protection/>
    </xf>
    <xf numFmtId="4" fontId="6" fillId="33" borderId="10" xfId="69" applyNumberFormat="1" applyFont="1" applyFill="1" applyBorder="1" applyAlignment="1">
      <alignment horizontal="center" vertical="center"/>
      <protection/>
    </xf>
    <xf numFmtId="4" fontId="7" fillId="33" borderId="11" xfId="0" applyNumberFormat="1" applyFont="1" applyFill="1" applyBorder="1" applyAlignment="1">
      <alignment horizontal="left" vertical="center" wrapText="1"/>
    </xf>
    <xf numFmtId="4" fontId="7" fillId="33" borderId="12" xfId="0" applyNumberFormat="1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7" fillId="33" borderId="14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left" vertical="center" wrapText="1"/>
    </xf>
    <xf numFmtId="4" fontId="6" fillId="33" borderId="11" xfId="69" applyNumberFormat="1" applyFont="1" applyFill="1" applyBorder="1" applyAlignment="1">
      <alignment horizontal="left" vertical="center"/>
      <protection/>
    </xf>
    <xf numFmtId="4" fontId="6" fillId="33" borderId="14" xfId="69" applyNumberFormat="1" applyFont="1" applyFill="1" applyBorder="1" applyAlignment="1">
      <alignment horizontal="left" vertical="center"/>
      <protection/>
    </xf>
    <xf numFmtId="4" fontId="6" fillId="33" borderId="23" xfId="69" applyNumberFormat="1" applyFont="1" applyFill="1" applyBorder="1" applyAlignment="1">
      <alignment horizontal="left" vertical="center"/>
      <protection/>
    </xf>
    <xf numFmtId="4" fontId="6" fillId="33" borderId="16" xfId="69" applyNumberFormat="1" applyFont="1" applyFill="1" applyBorder="1" applyAlignment="1">
      <alignment horizontal="left" vertical="center"/>
      <protection/>
    </xf>
    <xf numFmtId="3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/>
    </xf>
    <xf numFmtId="0" fontId="6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64" applyFont="1" applyFill="1" applyBorder="1" applyAlignment="1">
      <alignment horizontal="center" vertical="center" textRotation="90" wrapText="1"/>
      <protection/>
    </xf>
    <xf numFmtId="0" fontId="6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/>
    </xf>
    <xf numFmtId="3" fontId="11" fillId="33" borderId="10" xfId="0" applyNumberFormat="1" applyFont="1" applyFill="1" applyBorder="1" applyAlignment="1">
      <alignment horizontal="center" vertical="center" wrapText="1"/>
    </xf>
    <xf numFmtId="4" fontId="6" fillId="33" borderId="24" xfId="69" applyNumberFormat="1" applyFont="1" applyFill="1" applyBorder="1" applyAlignment="1">
      <alignment horizontal="left" vertical="center"/>
      <protection/>
    </xf>
    <xf numFmtId="4" fontId="6" fillId="33" borderId="20" xfId="69" applyNumberFormat="1" applyFont="1" applyFill="1" applyBorder="1" applyAlignment="1">
      <alignment horizontal="left" vertical="center"/>
      <protection/>
    </xf>
    <xf numFmtId="4" fontId="6" fillId="33" borderId="10" xfId="69" applyNumberFormat="1" applyFont="1" applyFill="1" applyBorder="1" applyAlignment="1">
      <alignment horizontal="left" vertical="center" wrapText="1"/>
      <protection/>
    </xf>
    <xf numFmtId="0" fontId="4" fillId="33" borderId="0" xfId="0" applyFont="1" applyFill="1" applyBorder="1" applyAlignment="1">
      <alignment vertical="center"/>
    </xf>
    <xf numFmtId="4" fontId="7" fillId="33" borderId="10" xfId="94" applyNumberFormat="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/>
    </xf>
    <xf numFmtId="4" fontId="4" fillId="33" borderId="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2" fontId="4" fillId="33" borderId="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" fontId="8" fillId="33" borderId="0" xfId="0" applyNumberFormat="1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horizontal="center" vertical="top"/>
    </xf>
    <xf numFmtId="3" fontId="7" fillId="33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/>
    </xf>
    <xf numFmtId="1" fontId="7" fillId="33" borderId="10" xfId="64" applyNumberFormat="1" applyFont="1" applyFill="1" applyBorder="1" applyAlignment="1">
      <alignment horizontal="center" vertical="center" wrapText="1"/>
      <protection/>
    </xf>
    <xf numFmtId="1" fontId="7" fillId="33" borderId="10" xfId="64" applyNumberFormat="1" applyFont="1" applyFill="1" applyBorder="1" applyAlignment="1">
      <alignment horizontal="center" vertical="center"/>
      <protection/>
    </xf>
    <xf numFmtId="1" fontId="7" fillId="33" borderId="10" xfId="64" applyNumberFormat="1" applyFont="1" applyFill="1" applyBorder="1" applyAlignment="1" quotePrefix="1">
      <alignment horizontal="center" vertical="center" wrapText="1"/>
      <protection/>
    </xf>
    <xf numFmtId="1" fontId="7" fillId="33" borderId="10" xfId="64" applyNumberFormat="1" applyFont="1" applyFill="1" applyBorder="1" applyAlignment="1" quotePrefix="1">
      <alignment horizontal="center" vertical="center"/>
      <protection/>
    </xf>
    <xf numFmtId="3" fontId="7" fillId="33" borderId="10" xfId="0" applyNumberFormat="1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10" xfId="58" applyFont="1" applyFill="1" applyBorder="1" applyAlignment="1">
      <alignment horizontal="center"/>
      <protection/>
    </xf>
    <xf numFmtId="0" fontId="7" fillId="33" borderId="10" xfId="58" applyFont="1" applyFill="1" applyBorder="1" applyAlignment="1">
      <alignment horizontal="center" vertical="center"/>
      <protection/>
    </xf>
    <xf numFmtId="4" fontId="7" fillId="33" borderId="10" xfId="58" applyNumberFormat="1" applyFont="1" applyFill="1" applyBorder="1" applyAlignment="1">
      <alignment horizontal="center" vertical="center"/>
      <protection/>
    </xf>
    <xf numFmtId="3" fontId="7" fillId="33" borderId="10" xfId="58" applyNumberFormat="1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4" fontId="7" fillId="33" borderId="12" xfId="0" applyNumberFormat="1" applyFont="1" applyFill="1" applyBorder="1" applyAlignment="1">
      <alignment horizontal="center" vertical="center"/>
    </xf>
    <xf numFmtId="4" fontId="7" fillId="33" borderId="13" xfId="0" applyNumberFormat="1" applyFont="1" applyFill="1" applyBorder="1" applyAlignment="1">
      <alignment horizontal="center" vertical="center"/>
    </xf>
    <xf numFmtId="3" fontId="7" fillId="33" borderId="13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4" fontId="7" fillId="34" borderId="26" xfId="0" applyNumberFormat="1" applyFont="1" applyFill="1" applyBorder="1" applyAlignment="1">
      <alignment horizontal="center" vertical="center"/>
    </xf>
    <xf numFmtId="3" fontId="7" fillId="34" borderId="26" xfId="0" applyNumberFormat="1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4" fontId="7" fillId="33" borderId="26" xfId="0" applyNumberFormat="1" applyFont="1" applyFill="1" applyBorder="1" applyAlignment="1">
      <alignment horizontal="center" vertical="center"/>
    </xf>
    <xf numFmtId="3" fontId="7" fillId="33" borderId="26" xfId="0" applyNumberFormat="1" applyFont="1" applyFill="1" applyBorder="1" applyAlignment="1">
      <alignment horizontal="center" vertical="center"/>
    </xf>
    <xf numFmtId="4" fontId="7" fillId="33" borderId="10" xfId="69" applyNumberFormat="1" applyFont="1" applyFill="1" applyBorder="1" applyAlignment="1">
      <alignment horizontal="left" vertical="center"/>
      <protection/>
    </xf>
    <xf numFmtId="4" fontId="7" fillId="33" borderId="10" xfId="0" applyNumberFormat="1" applyFont="1" applyFill="1" applyBorder="1" applyAlignment="1" quotePrefix="1">
      <alignment horizontal="center"/>
    </xf>
    <xf numFmtId="0" fontId="7" fillId="33" borderId="10" xfId="35" applyFont="1" applyFill="1" applyBorder="1" applyAlignment="1">
      <alignment wrapText="1"/>
      <protection/>
    </xf>
    <xf numFmtId="0" fontId="7" fillId="33" borderId="10" xfId="35" applyFont="1" applyFill="1" applyBorder="1" applyAlignment="1">
      <alignment/>
      <protection/>
    </xf>
    <xf numFmtId="0" fontId="7" fillId="33" borderId="10" xfId="0" applyFont="1" applyFill="1" applyBorder="1" applyAlignment="1">
      <alignment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4" fontId="7" fillId="33" borderId="10" xfId="105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left" vertical="top" wrapText="1"/>
    </xf>
    <xf numFmtId="4" fontId="7" fillId="33" borderId="10" xfId="64" applyNumberFormat="1" applyFont="1" applyFill="1" applyBorder="1" applyAlignment="1">
      <alignment horizontal="left" vertical="center" wrapText="1"/>
      <protection/>
    </xf>
    <xf numFmtId="171" fontId="7" fillId="33" borderId="10" xfId="105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/>
    </xf>
    <xf numFmtId="4" fontId="10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171" fontId="7" fillId="33" borderId="10" xfId="105" applyFont="1" applyFill="1" applyBorder="1" applyAlignment="1">
      <alignment horizontal="center" vertical="center"/>
    </xf>
    <xf numFmtId="4" fontId="7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wrapText="1"/>
    </xf>
    <xf numFmtId="4" fontId="6" fillId="33" borderId="10" xfId="0" applyNumberFormat="1" applyFont="1" applyFill="1" applyBorder="1" applyAlignment="1">
      <alignment horizontal="right" vertical="center" wrapText="1"/>
    </xf>
    <xf numFmtId="0" fontId="10" fillId="33" borderId="0" xfId="0" applyFont="1" applyFill="1" applyBorder="1" applyAlignment="1">
      <alignment horizontal="center" wrapText="1"/>
    </xf>
    <xf numFmtId="185" fontId="7" fillId="33" borderId="10" xfId="105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wrapText="1"/>
    </xf>
    <xf numFmtId="0" fontId="10" fillId="33" borderId="0" xfId="0" applyFont="1" applyFill="1" applyBorder="1" applyAlignment="1">
      <alignment vertical="center" wrapText="1" shrinkToFit="1"/>
    </xf>
    <xf numFmtId="0" fontId="7" fillId="33" borderId="10" xfId="35" applyFont="1" applyFill="1" applyBorder="1" applyAlignment="1">
      <alignment horizontal="left" vertical="top" wrapText="1"/>
      <protection/>
    </xf>
    <xf numFmtId="4" fontId="7" fillId="33" borderId="10" xfId="35" applyNumberFormat="1" applyFont="1" applyFill="1" applyBorder="1" applyAlignment="1">
      <alignment horizontal="left" vertical="center" wrapText="1"/>
      <protection/>
    </xf>
    <xf numFmtId="4" fontId="7" fillId="33" borderId="10" xfId="69" applyNumberFormat="1" applyFont="1" applyFill="1" applyBorder="1" applyAlignment="1">
      <alignment horizontal="center" vertical="center" wrapText="1"/>
      <protection/>
    </xf>
    <xf numFmtId="4" fontId="6" fillId="33" borderId="10" xfId="0" applyNumberFormat="1" applyFont="1" applyFill="1" applyBorder="1" applyAlignment="1">
      <alignment horizontal="right" vertical="top" wrapText="1"/>
    </xf>
    <xf numFmtId="4" fontId="7" fillId="33" borderId="10" xfId="105" applyNumberFormat="1" applyFont="1" applyFill="1" applyBorder="1" applyAlignment="1">
      <alignment horizontal="center"/>
    </xf>
    <xf numFmtId="4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4" fontId="7" fillId="33" borderId="0" xfId="0" applyNumberFormat="1" applyFont="1" applyFill="1" applyAlignment="1">
      <alignment vertical="center" wrapText="1"/>
    </xf>
    <xf numFmtId="4" fontId="7" fillId="33" borderId="10" xfId="0" applyNumberFormat="1" applyFont="1" applyFill="1" applyBorder="1" applyAlignment="1">
      <alignment horizontal="right" vertical="center" indent="1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2 2" xfId="35"/>
    <cellStyle name="Excel Built-in Normal 3" xfId="36"/>
    <cellStyle name="TableStyleLigh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0 2" xfId="59"/>
    <cellStyle name="Обычный 10 3" xfId="60"/>
    <cellStyle name="Обычный 11" xfId="61"/>
    <cellStyle name="Обычный 12" xfId="62"/>
    <cellStyle name="Обычный 13" xfId="63"/>
    <cellStyle name="Обычный 2" xfId="64"/>
    <cellStyle name="Обычный 2 2" xfId="65"/>
    <cellStyle name="Обычный 2 2 2" xfId="66"/>
    <cellStyle name="Обычный 2 3" xfId="67"/>
    <cellStyle name="Обычный 2 4" xfId="68"/>
    <cellStyle name="Обычный 3" xfId="69"/>
    <cellStyle name="Обычный 3 2" xfId="70"/>
    <cellStyle name="Обычный 3 2 2" xfId="71"/>
    <cellStyle name="Обычный 3 3" xfId="72"/>
    <cellStyle name="Обычный 3 4" xfId="73"/>
    <cellStyle name="Обычный 3 5" xfId="74"/>
    <cellStyle name="Обычный 4" xfId="75"/>
    <cellStyle name="Обычный 4 2" xfId="76"/>
    <cellStyle name="Обычный 4 3" xfId="77"/>
    <cellStyle name="Обычный 4 4" xfId="78"/>
    <cellStyle name="Обычный 4 5" xfId="79"/>
    <cellStyle name="Обычный 5" xfId="80"/>
    <cellStyle name="Обычный 5 2" xfId="81"/>
    <cellStyle name="Обычный 6" xfId="82"/>
    <cellStyle name="Обычный 6 2" xfId="83"/>
    <cellStyle name="Обычный 6 3" xfId="84"/>
    <cellStyle name="Обычный 6 4" xfId="85"/>
    <cellStyle name="Обычный 6 5" xfId="86"/>
    <cellStyle name="Обычный 7" xfId="87"/>
    <cellStyle name="Обычный 7 2" xfId="88"/>
    <cellStyle name="Обычный 7 3" xfId="89"/>
    <cellStyle name="Обычный 7 4" xfId="90"/>
    <cellStyle name="Обычный 7 5" xfId="91"/>
    <cellStyle name="Обычный 8" xfId="92"/>
    <cellStyle name="Обычный 8 2" xfId="93"/>
    <cellStyle name="Обычный 9" xfId="94"/>
    <cellStyle name="Обычный 9 2" xfId="95"/>
    <cellStyle name="Обычный 9 3" xfId="96"/>
    <cellStyle name="Обычный_Лист1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Финансовый 2" xfId="107"/>
    <cellStyle name="Финансовый 3" xfId="108"/>
    <cellStyle name="Хороший" xfId="10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64"/>
  <sheetViews>
    <sheetView view="pageBreakPreview" zoomScale="90" zoomScaleNormal="90" zoomScaleSheetLayoutView="90" zoomScalePageLayoutView="0" workbookViewId="0" topLeftCell="A1">
      <pane xSplit="2" ySplit="6" topLeftCell="X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C24" sqref="AC24"/>
    </sheetView>
  </sheetViews>
  <sheetFormatPr defaultColWidth="9.140625" defaultRowHeight="15"/>
  <cols>
    <col min="1" max="1" width="5.00390625" style="6" customWidth="1"/>
    <col min="2" max="2" width="50.00390625" style="6" customWidth="1"/>
    <col min="3" max="3" width="19.28125" style="7" customWidth="1"/>
    <col min="4" max="4" width="17.421875" style="7" customWidth="1"/>
    <col min="5" max="5" width="13.57421875" style="7" customWidth="1"/>
    <col min="6" max="6" width="15.140625" style="7" customWidth="1"/>
    <col min="7" max="7" width="14.28125" style="7" customWidth="1"/>
    <col min="8" max="8" width="14.140625" style="7" customWidth="1"/>
    <col min="9" max="9" width="14.28125" style="7" customWidth="1"/>
    <col min="10" max="10" width="6.57421875" style="7" customWidth="1"/>
    <col min="11" max="11" width="14.140625" style="7" customWidth="1"/>
    <col min="12" max="12" width="14.8515625" style="7" bestFit="1" customWidth="1"/>
    <col min="13" max="13" width="15.7109375" style="7" customWidth="1"/>
    <col min="14" max="14" width="12.00390625" style="7" customWidth="1"/>
    <col min="15" max="15" width="14.00390625" style="7" customWidth="1"/>
    <col min="16" max="16" width="11.00390625" style="7" customWidth="1"/>
    <col min="17" max="17" width="16.8515625" style="7" customWidth="1"/>
    <col min="18" max="18" width="9.57421875" style="7" customWidth="1"/>
    <col min="19" max="19" width="14.140625" style="7" customWidth="1"/>
    <col min="20" max="20" width="11.7109375" style="7" customWidth="1"/>
    <col min="21" max="21" width="13.421875" style="7" customWidth="1"/>
    <col min="22" max="22" width="14.421875" style="7" customWidth="1"/>
    <col min="23" max="23" width="21.421875" style="7" customWidth="1"/>
    <col min="24" max="24" width="15.7109375" style="7" customWidth="1"/>
    <col min="25" max="25" width="15.28125" style="5" customWidth="1"/>
    <col min="26" max="26" width="21.140625" style="6" customWidth="1"/>
    <col min="27" max="27" width="15.421875" style="6" customWidth="1"/>
    <col min="28" max="28" width="18.7109375" style="6" customWidth="1"/>
    <col min="29" max="29" width="15.00390625" style="6" customWidth="1"/>
    <col min="30" max="30" width="12.8515625" style="6" bestFit="1" customWidth="1"/>
    <col min="31" max="16384" width="9.140625" style="6" customWidth="1"/>
  </cols>
  <sheetData>
    <row r="1" spans="1:24" ht="12.75">
      <c r="A1" s="156" t="s">
        <v>674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</row>
    <row r="3" spans="1:24" ht="12.75" customHeight="1">
      <c r="A3" s="153" t="s">
        <v>572</v>
      </c>
      <c r="B3" s="153" t="s">
        <v>0</v>
      </c>
      <c r="C3" s="153" t="s">
        <v>573</v>
      </c>
      <c r="D3" s="157" t="s">
        <v>574</v>
      </c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9"/>
    </row>
    <row r="4" spans="1:24" ht="12.75" customHeight="1">
      <c r="A4" s="154"/>
      <c r="B4" s="154"/>
      <c r="C4" s="154"/>
      <c r="D4" s="144" t="s">
        <v>575</v>
      </c>
      <c r="E4" s="145"/>
      <c r="F4" s="145"/>
      <c r="G4" s="145"/>
      <c r="H4" s="145"/>
      <c r="I4" s="146"/>
      <c r="J4" s="147" t="s">
        <v>576</v>
      </c>
      <c r="K4" s="148"/>
      <c r="L4" s="147" t="s">
        <v>577</v>
      </c>
      <c r="M4" s="148"/>
      <c r="N4" s="147" t="s">
        <v>578</v>
      </c>
      <c r="O4" s="148"/>
      <c r="P4" s="147" t="s">
        <v>579</v>
      </c>
      <c r="Q4" s="148"/>
      <c r="R4" s="147" t="s">
        <v>580</v>
      </c>
      <c r="S4" s="148"/>
      <c r="T4" s="147" t="s">
        <v>581</v>
      </c>
      <c r="U4" s="148"/>
      <c r="V4" s="153" t="s">
        <v>582</v>
      </c>
      <c r="W4" s="153" t="s">
        <v>583</v>
      </c>
      <c r="X4" s="153" t="s">
        <v>584</v>
      </c>
    </row>
    <row r="5" spans="1:24" ht="12.75" customHeight="1">
      <c r="A5" s="154"/>
      <c r="B5" s="154"/>
      <c r="C5" s="154"/>
      <c r="D5" s="153" t="s">
        <v>585</v>
      </c>
      <c r="E5" s="144" t="s">
        <v>586</v>
      </c>
      <c r="F5" s="145"/>
      <c r="G5" s="145"/>
      <c r="H5" s="145"/>
      <c r="I5" s="146"/>
      <c r="J5" s="149"/>
      <c r="K5" s="150"/>
      <c r="L5" s="149"/>
      <c r="M5" s="150"/>
      <c r="N5" s="149"/>
      <c r="O5" s="150"/>
      <c r="P5" s="149"/>
      <c r="Q5" s="150"/>
      <c r="R5" s="149"/>
      <c r="S5" s="150"/>
      <c r="T5" s="149"/>
      <c r="U5" s="150"/>
      <c r="V5" s="154"/>
      <c r="W5" s="154"/>
      <c r="X5" s="154"/>
    </row>
    <row r="6" spans="1:24" ht="60" customHeight="1">
      <c r="A6" s="154"/>
      <c r="B6" s="154"/>
      <c r="C6" s="155"/>
      <c r="D6" s="155"/>
      <c r="E6" s="8" t="s">
        <v>587</v>
      </c>
      <c r="F6" s="8" t="s">
        <v>588</v>
      </c>
      <c r="G6" s="8" t="s">
        <v>589</v>
      </c>
      <c r="H6" s="8" t="s">
        <v>590</v>
      </c>
      <c r="I6" s="8" t="s">
        <v>591</v>
      </c>
      <c r="J6" s="151"/>
      <c r="K6" s="152"/>
      <c r="L6" s="151"/>
      <c r="M6" s="152"/>
      <c r="N6" s="151"/>
      <c r="O6" s="152"/>
      <c r="P6" s="151"/>
      <c r="Q6" s="152"/>
      <c r="R6" s="151"/>
      <c r="S6" s="152"/>
      <c r="T6" s="151"/>
      <c r="U6" s="152"/>
      <c r="V6" s="155"/>
      <c r="W6" s="155"/>
      <c r="X6" s="155"/>
    </row>
    <row r="7" spans="1:25" s="1" customFormat="1" ht="12.75">
      <c r="A7" s="155"/>
      <c r="B7" s="155"/>
      <c r="C7" s="8" t="s">
        <v>83</v>
      </c>
      <c r="D7" s="8" t="s">
        <v>83</v>
      </c>
      <c r="E7" s="8" t="s">
        <v>83</v>
      </c>
      <c r="F7" s="8" t="s">
        <v>83</v>
      </c>
      <c r="G7" s="8" t="s">
        <v>83</v>
      </c>
      <c r="H7" s="8" t="s">
        <v>83</v>
      </c>
      <c r="I7" s="8" t="s">
        <v>83</v>
      </c>
      <c r="J7" s="8" t="s">
        <v>592</v>
      </c>
      <c r="K7" s="8" t="s">
        <v>83</v>
      </c>
      <c r="L7" s="8" t="s">
        <v>593</v>
      </c>
      <c r="M7" s="8" t="s">
        <v>83</v>
      </c>
      <c r="N7" s="8" t="s">
        <v>593</v>
      </c>
      <c r="O7" s="8" t="s">
        <v>83</v>
      </c>
      <c r="P7" s="8" t="s">
        <v>593</v>
      </c>
      <c r="Q7" s="8" t="s">
        <v>83</v>
      </c>
      <c r="R7" s="8" t="s">
        <v>594</v>
      </c>
      <c r="S7" s="8" t="s">
        <v>83</v>
      </c>
      <c r="T7" s="8" t="s">
        <v>593</v>
      </c>
      <c r="U7" s="8" t="s">
        <v>83</v>
      </c>
      <c r="V7" s="8" t="s">
        <v>83</v>
      </c>
      <c r="W7" s="8" t="s">
        <v>83</v>
      </c>
      <c r="X7" s="8" t="s">
        <v>83</v>
      </c>
      <c r="Y7" s="9"/>
    </row>
    <row r="8" spans="1:25" s="1" customFormat="1" ht="12.75">
      <c r="A8" s="96">
        <v>1</v>
      </c>
      <c r="B8" s="96">
        <v>2</v>
      </c>
      <c r="C8" s="96">
        <v>3</v>
      </c>
      <c r="D8" s="96">
        <v>4</v>
      </c>
      <c r="E8" s="96">
        <v>5</v>
      </c>
      <c r="F8" s="96">
        <v>6</v>
      </c>
      <c r="G8" s="96">
        <v>7</v>
      </c>
      <c r="H8" s="96">
        <v>8</v>
      </c>
      <c r="I8" s="96">
        <v>9</v>
      </c>
      <c r="J8" s="96">
        <v>10</v>
      </c>
      <c r="K8" s="96">
        <v>11</v>
      </c>
      <c r="L8" s="96">
        <v>12</v>
      </c>
      <c r="M8" s="96">
        <v>13</v>
      </c>
      <c r="N8" s="96">
        <v>14</v>
      </c>
      <c r="O8" s="96">
        <v>15</v>
      </c>
      <c r="P8" s="96">
        <v>16</v>
      </c>
      <c r="Q8" s="96">
        <v>17</v>
      </c>
      <c r="R8" s="96">
        <v>18</v>
      </c>
      <c r="S8" s="96">
        <v>19</v>
      </c>
      <c r="T8" s="96">
        <v>20</v>
      </c>
      <c r="U8" s="96">
        <v>21</v>
      </c>
      <c r="V8" s="96">
        <v>22</v>
      </c>
      <c r="W8" s="10">
        <v>23</v>
      </c>
      <c r="X8" s="10">
        <v>24</v>
      </c>
      <c r="Y8" s="9"/>
    </row>
    <row r="9" spans="1:25" ht="12.75" customHeight="1">
      <c r="A9" s="111" t="s">
        <v>595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3"/>
      <c r="Y9" s="11"/>
    </row>
    <row r="10" spans="1:27" ht="12.75" customHeight="1">
      <c r="A10" s="105" t="s">
        <v>596</v>
      </c>
      <c r="B10" s="110"/>
      <c r="C10" s="106"/>
      <c r="D10" s="107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9"/>
      <c r="Y10" s="11"/>
      <c r="AA10" s="12"/>
    </row>
    <row r="11" spans="1:28" s="253" customFormat="1" ht="12.75">
      <c r="A11" s="96">
        <v>1</v>
      </c>
      <c r="B11" s="82" t="s">
        <v>708</v>
      </c>
      <c r="C11" s="97">
        <f>D11+K11+M11+O11+Q11+S11+U11+V11+W11+X11</f>
        <v>7157019</v>
      </c>
      <c r="D11" s="86">
        <f>E11+F11+G11+H11+I11</f>
        <v>6482900</v>
      </c>
      <c r="E11" s="97">
        <v>1870510</v>
      </c>
      <c r="F11" s="266"/>
      <c r="G11" s="266">
        <v>1645414</v>
      </c>
      <c r="H11" s="266">
        <v>2200594</v>
      </c>
      <c r="I11" s="266">
        <v>766382</v>
      </c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266">
        <v>674119</v>
      </c>
      <c r="W11" s="86"/>
      <c r="X11" s="71"/>
      <c r="Y11" s="252"/>
      <c r="Z11" s="252"/>
      <c r="AA11" s="252"/>
      <c r="AB11" s="252"/>
    </row>
    <row r="12" spans="1:28" s="253" customFormat="1" ht="13.5" customHeight="1">
      <c r="A12" s="96">
        <f>A11+1</f>
        <v>2</v>
      </c>
      <c r="B12" s="82" t="s">
        <v>709</v>
      </c>
      <c r="C12" s="97">
        <f>D12+K12+M12+O12+Q12+S12+U12+V12+W12+X12</f>
        <v>1557274</v>
      </c>
      <c r="D12" s="86">
        <f>E12+F12+G12+H12+I12</f>
        <v>1557274</v>
      </c>
      <c r="E12" s="266">
        <v>1557274</v>
      </c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86"/>
      <c r="X12" s="71"/>
      <c r="Y12" s="252"/>
      <c r="Z12" s="252"/>
      <c r="AA12" s="252"/>
      <c r="AB12" s="252"/>
    </row>
    <row r="13" spans="1:27" ht="12.75" customHeight="1">
      <c r="A13" s="96">
        <f aca="true" t="shared" si="0" ref="A13:A23">A12+1</f>
        <v>3</v>
      </c>
      <c r="B13" s="89" t="s">
        <v>571</v>
      </c>
      <c r="C13" s="97">
        <f>D13+K13+M13+O13+Q13+S13+U13+V13+W13+X13</f>
        <v>215608</v>
      </c>
      <c r="D13" s="86">
        <f>E13+F13+G13+H13+I13</f>
        <v>0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6">
        <v>215608</v>
      </c>
      <c r="X13" s="81"/>
      <c r="Y13" s="11"/>
      <c r="AA13" s="12"/>
    </row>
    <row r="14" spans="1:27" ht="12.75" customHeight="1">
      <c r="A14" s="96">
        <f t="shared" si="0"/>
        <v>4</v>
      </c>
      <c r="B14" s="13" t="s">
        <v>85</v>
      </c>
      <c r="C14" s="97">
        <f aca="true" t="shared" si="1" ref="C14:C23">D14+K14+M14+O14+Q14+S14+U14+V14+W14+X14</f>
        <v>476746</v>
      </c>
      <c r="D14" s="86">
        <f aca="true" t="shared" si="2" ref="D14:D23">E14+F14+G14+H14+I14</f>
        <v>0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>
        <v>629</v>
      </c>
      <c r="Q14" s="86">
        <v>476746</v>
      </c>
      <c r="R14" s="86"/>
      <c r="S14" s="86"/>
      <c r="T14" s="86"/>
      <c r="U14" s="86"/>
      <c r="V14" s="86"/>
      <c r="W14" s="86"/>
      <c r="X14" s="86"/>
      <c r="Y14" s="14"/>
      <c r="Z14" s="12"/>
      <c r="AA14" s="12"/>
    </row>
    <row r="15" spans="1:28" ht="14.25" customHeight="1">
      <c r="A15" s="96">
        <f t="shared" si="0"/>
        <v>5</v>
      </c>
      <c r="B15" s="13" t="s">
        <v>91</v>
      </c>
      <c r="C15" s="97">
        <f t="shared" si="1"/>
        <v>3040227</v>
      </c>
      <c r="D15" s="86">
        <f t="shared" si="2"/>
        <v>0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>
        <v>1678.4</v>
      </c>
      <c r="Q15" s="86">
        <v>3040227</v>
      </c>
      <c r="R15" s="86"/>
      <c r="S15" s="86"/>
      <c r="T15" s="86"/>
      <c r="U15" s="86"/>
      <c r="V15" s="86"/>
      <c r="W15" s="86"/>
      <c r="X15" s="86"/>
      <c r="Y15" s="14"/>
      <c r="Z15" s="12"/>
      <c r="AA15" s="12"/>
      <c r="AB15" s="12"/>
    </row>
    <row r="16" spans="1:28" s="253" customFormat="1" ht="12.75">
      <c r="A16" s="96">
        <f t="shared" si="0"/>
        <v>6</v>
      </c>
      <c r="B16" s="82" t="s">
        <v>710</v>
      </c>
      <c r="C16" s="97">
        <f>D16+K16+M16+O16+Q16+S16+U16+V16+W16+X16</f>
        <v>1498391</v>
      </c>
      <c r="D16" s="86">
        <f>E16+F16+G16+H16+I16</f>
        <v>1498391</v>
      </c>
      <c r="E16" s="266">
        <v>1498391</v>
      </c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86"/>
      <c r="X16" s="71"/>
      <c r="Y16" s="252"/>
      <c r="Z16" s="252"/>
      <c r="AA16" s="252"/>
      <c r="AB16" s="252"/>
    </row>
    <row r="17" spans="1:28" s="253" customFormat="1" ht="12.75">
      <c r="A17" s="96">
        <f t="shared" si="0"/>
        <v>7</v>
      </c>
      <c r="B17" s="82" t="s">
        <v>711</v>
      </c>
      <c r="C17" s="97">
        <f>D17+K17+M17+O17+Q17+S17+U17+V17+W17+X17</f>
        <v>1498391</v>
      </c>
      <c r="D17" s="86">
        <f>E17+F17+G17+H17+I17</f>
        <v>1498391</v>
      </c>
      <c r="E17" s="266">
        <v>1498391</v>
      </c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86"/>
      <c r="X17" s="71"/>
      <c r="Y17" s="252"/>
      <c r="Z17" s="252"/>
      <c r="AA17" s="252"/>
      <c r="AB17" s="252"/>
    </row>
    <row r="18" spans="1:27" ht="12.75" customHeight="1">
      <c r="A18" s="96">
        <f t="shared" si="0"/>
        <v>8</v>
      </c>
      <c r="B18" s="13" t="s">
        <v>86</v>
      </c>
      <c r="C18" s="97">
        <f t="shared" si="1"/>
        <v>2694572</v>
      </c>
      <c r="D18" s="86">
        <f t="shared" si="2"/>
        <v>0</v>
      </c>
      <c r="E18" s="86"/>
      <c r="F18" s="86"/>
      <c r="G18" s="86"/>
      <c r="H18" s="86"/>
      <c r="I18" s="86"/>
      <c r="J18" s="86"/>
      <c r="K18" s="86"/>
      <c r="L18" s="86">
        <v>831.56</v>
      </c>
      <c r="M18" s="86">
        <v>2694572</v>
      </c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14"/>
      <c r="Z18" s="12"/>
      <c r="AA18" s="12"/>
    </row>
    <row r="19" spans="1:28" ht="12.75">
      <c r="A19" s="96">
        <f t="shared" si="0"/>
        <v>9</v>
      </c>
      <c r="B19" s="13" t="s">
        <v>87</v>
      </c>
      <c r="C19" s="97">
        <f t="shared" si="1"/>
        <v>233770</v>
      </c>
      <c r="D19" s="86">
        <f t="shared" si="2"/>
        <v>0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>
        <v>233770</v>
      </c>
      <c r="X19" s="86"/>
      <c r="Y19" s="14"/>
      <c r="Z19" s="12"/>
      <c r="AA19" s="12"/>
      <c r="AB19" s="12"/>
    </row>
    <row r="20" spans="1:27" ht="12.75" customHeight="1">
      <c r="A20" s="96">
        <f t="shared" si="0"/>
        <v>10</v>
      </c>
      <c r="B20" s="13" t="s">
        <v>88</v>
      </c>
      <c r="C20" s="97">
        <f t="shared" si="1"/>
        <v>102229</v>
      </c>
      <c r="D20" s="86">
        <f t="shared" si="2"/>
        <v>0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>
        <v>102229</v>
      </c>
      <c r="X20" s="86"/>
      <c r="Y20" s="14"/>
      <c r="Z20" s="12"/>
      <c r="AA20" s="12"/>
    </row>
    <row r="21" spans="1:27" ht="12.75" customHeight="1">
      <c r="A21" s="96">
        <f t="shared" si="0"/>
        <v>11</v>
      </c>
      <c r="B21" s="89" t="s">
        <v>89</v>
      </c>
      <c r="C21" s="97">
        <f t="shared" si="1"/>
        <v>2692123</v>
      </c>
      <c r="D21" s="86">
        <f t="shared" si="2"/>
        <v>0</v>
      </c>
      <c r="E21" s="81"/>
      <c r="F21" s="81"/>
      <c r="G21" s="81"/>
      <c r="H21" s="81"/>
      <c r="I21" s="81"/>
      <c r="J21" s="81"/>
      <c r="K21" s="81"/>
      <c r="L21" s="86">
        <v>831.56</v>
      </c>
      <c r="M21" s="86">
        <v>2692123</v>
      </c>
      <c r="N21" s="81"/>
      <c r="O21" s="81"/>
      <c r="P21" s="81"/>
      <c r="Q21" s="81"/>
      <c r="R21" s="81"/>
      <c r="S21" s="81"/>
      <c r="T21" s="81"/>
      <c r="U21" s="81"/>
      <c r="V21" s="81"/>
      <c r="W21" s="86"/>
      <c r="X21" s="81"/>
      <c r="Y21" s="11"/>
      <c r="AA21" s="12"/>
    </row>
    <row r="22" spans="1:27" ht="13.5" customHeight="1">
      <c r="A22" s="96">
        <f t="shared" si="0"/>
        <v>12</v>
      </c>
      <c r="B22" s="13" t="s">
        <v>92</v>
      </c>
      <c r="C22" s="97">
        <f t="shared" si="1"/>
        <v>1852715</v>
      </c>
      <c r="D22" s="86">
        <f>E22+F22+G22+H22+I22</f>
        <v>0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>
        <v>1055</v>
      </c>
      <c r="Q22" s="86">
        <v>1852715</v>
      </c>
      <c r="R22" s="86"/>
      <c r="S22" s="86"/>
      <c r="T22" s="86"/>
      <c r="U22" s="86"/>
      <c r="V22" s="86"/>
      <c r="W22" s="86"/>
      <c r="X22" s="86"/>
      <c r="Y22" s="14"/>
      <c r="Z22" s="12"/>
      <c r="AA22" s="12"/>
    </row>
    <row r="23" spans="1:28" ht="12.75">
      <c r="A23" s="96">
        <f t="shared" si="0"/>
        <v>13</v>
      </c>
      <c r="B23" s="13" t="s">
        <v>90</v>
      </c>
      <c r="C23" s="97">
        <f t="shared" si="1"/>
        <v>269016</v>
      </c>
      <c r="D23" s="86">
        <f t="shared" si="2"/>
        <v>269016</v>
      </c>
      <c r="E23" s="86"/>
      <c r="F23" s="86">
        <v>269016</v>
      </c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14"/>
      <c r="Z23" s="12"/>
      <c r="AA23" s="12"/>
      <c r="AB23" s="12"/>
    </row>
    <row r="24" spans="1:29" ht="14.25" customHeight="1">
      <c r="A24" s="103" t="s">
        <v>597</v>
      </c>
      <c r="B24" s="104"/>
      <c r="C24" s="97">
        <f>SUM(C11:C23)</f>
        <v>23288081</v>
      </c>
      <c r="D24" s="97">
        <f aca="true" t="shared" si="3" ref="D24:X24">SUM(D11:D23)</f>
        <v>11305972</v>
      </c>
      <c r="E24" s="97">
        <f t="shared" si="3"/>
        <v>6424566</v>
      </c>
      <c r="F24" s="97">
        <f t="shared" si="3"/>
        <v>269016</v>
      </c>
      <c r="G24" s="97">
        <f t="shared" si="3"/>
        <v>1645414</v>
      </c>
      <c r="H24" s="97">
        <f t="shared" si="3"/>
        <v>2200594</v>
      </c>
      <c r="I24" s="97">
        <f t="shared" si="3"/>
        <v>766382</v>
      </c>
      <c r="J24" s="97">
        <f t="shared" si="3"/>
        <v>0</v>
      </c>
      <c r="K24" s="97">
        <f t="shared" si="3"/>
        <v>0</v>
      </c>
      <c r="L24" s="97">
        <f t="shared" si="3"/>
        <v>1663.12</v>
      </c>
      <c r="M24" s="97">
        <f t="shared" si="3"/>
        <v>5386695</v>
      </c>
      <c r="N24" s="97">
        <f t="shared" si="3"/>
        <v>0</v>
      </c>
      <c r="O24" s="97">
        <f t="shared" si="3"/>
        <v>0</v>
      </c>
      <c r="P24" s="97">
        <f t="shared" si="3"/>
        <v>3362.4</v>
      </c>
      <c r="Q24" s="97">
        <f t="shared" si="3"/>
        <v>5369688</v>
      </c>
      <c r="R24" s="97">
        <f t="shared" si="3"/>
        <v>0</v>
      </c>
      <c r="S24" s="97">
        <f t="shared" si="3"/>
        <v>0</v>
      </c>
      <c r="T24" s="97">
        <f t="shared" si="3"/>
        <v>0</v>
      </c>
      <c r="U24" s="97">
        <f t="shared" si="3"/>
        <v>0</v>
      </c>
      <c r="V24" s="97">
        <f t="shared" si="3"/>
        <v>674119</v>
      </c>
      <c r="W24" s="97">
        <f t="shared" si="3"/>
        <v>551607</v>
      </c>
      <c r="X24" s="97">
        <f t="shared" si="3"/>
        <v>0</v>
      </c>
      <c r="Y24" s="14"/>
      <c r="Z24" s="12"/>
      <c r="AA24" s="12"/>
      <c r="AB24" s="12"/>
      <c r="AC24" s="12"/>
    </row>
    <row r="25" spans="1:29" ht="12.75" customHeight="1">
      <c r="A25" s="105" t="s">
        <v>598</v>
      </c>
      <c r="B25" s="110"/>
      <c r="C25" s="106"/>
      <c r="D25" s="107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9"/>
      <c r="Y25" s="14"/>
      <c r="Z25" s="12"/>
      <c r="AA25" s="12"/>
      <c r="AB25" s="12"/>
      <c r="AC25" s="12"/>
    </row>
    <row r="26" spans="1:29" ht="12.75">
      <c r="A26" s="96">
        <f>A23+1</f>
        <v>14</v>
      </c>
      <c r="B26" s="13" t="s">
        <v>19</v>
      </c>
      <c r="C26" s="97">
        <f>D26+K26+M26+O26+Q26+S26+U26+V26+W26+X26</f>
        <v>107438</v>
      </c>
      <c r="D26" s="86">
        <f>E26+F26+G26+H26+I26</f>
        <v>0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>
        <v>107438</v>
      </c>
      <c r="X26" s="86"/>
      <c r="Y26" s="11"/>
      <c r="Z26" s="12"/>
      <c r="AA26" s="12"/>
      <c r="AB26" s="12"/>
      <c r="AC26" s="12"/>
    </row>
    <row r="27" spans="1:29" ht="12.75" customHeight="1">
      <c r="A27" s="103" t="s">
        <v>597</v>
      </c>
      <c r="B27" s="104"/>
      <c r="C27" s="97">
        <f>SUM(C26:C26)</f>
        <v>107438</v>
      </c>
      <c r="D27" s="97">
        <f aca="true" t="shared" si="4" ref="D27:X27">SUM(D26:D26)</f>
        <v>0</v>
      </c>
      <c r="E27" s="97">
        <f t="shared" si="4"/>
        <v>0</v>
      </c>
      <c r="F27" s="97">
        <f t="shared" si="4"/>
        <v>0</v>
      </c>
      <c r="G27" s="97">
        <f t="shared" si="4"/>
        <v>0</v>
      </c>
      <c r="H27" s="97">
        <f t="shared" si="4"/>
        <v>0</v>
      </c>
      <c r="I27" s="97">
        <f t="shared" si="4"/>
        <v>0</v>
      </c>
      <c r="J27" s="97">
        <f t="shared" si="4"/>
        <v>0</v>
      </c>
      <c r="K27" s="97">
        <f t="shared" si="4"/>
        <v>0</v>
      </c>
      <c r="L27" s="97">
        <f t="shared" si="4"/>
        <v>0</v>
      </c>
      <c r="M27" s="97">
        <f t="shared" si="4"/>
        <v>0</v>
      </c>
      <c r="N27" s="97">
        <f t="shared" si="4"/>
        <v>0</v>
      </c>
      <c r="O27" s="97">
        <f t="shared" si="4"/>
        <v>0</v>
      </c>
      <c r="P27" s="97">
        <f t="shared" si="4"/>
        <v>0</v>
      </c>
      <c r="Q27" s="97">
        <f t="shared" si="4"/>
        <v>0</v>
      </c>
      <c r="R27" s="97">
        <f t="shared" si="4"/>
        <v>0</v>
      </c>
      <c r="S27" s="97">
        <f t="shared" si="4"/>
        <v>0</v>
      </c>
      <c r="T27" s="97">
        <f t="shared" si="4"/>
        <v>0</v>
      </c>
      <c r="U27" s="97">
        <f t="shared" si="4"/>
        <v>0</v>
      </c>
      <c r="V27" s="97">
        <f t="shared" si="4"/>
        <v>0</v>
      </c>
      <c r="W27" s="97">
        <f t="shared" si="4"/>
        <v>107438</v>
      </c>
      <c r="X27" s="97">
        <f t="shared" si="4"/>
        <v>0</v>
      </c>
      <c r="Y27" s="14"/>
      <c r="Z27" s="12"/>
      <c r="AA27" s="12"/>
      <c r="AB27" s="12"/>
      <c r="AC27" s="12"/>
    </row>
    <row r="28" spans="1:29" ht="12.75" customHeight="1">
      <c r="A28" s="120" t="s">
        <v>702</v>
      </c>
      <c r="B28" s="121"/>
      <c r="C28" s="122"/>
      <c r="D28" s="107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9"/>
      <c r="Y28" s="14"/>
      <c r="Z28" s="12"/>
      <c r="AA28" s="12"/>
      <c r="AB28" s="12"/>
      <c r="AC28" s="12"/>
    </row>
    <row r="29" spans="1:29" ht="12.75" customHeight="1">
      <c r="A29" s="96">
        <f>A26+1</f>
        <v>15</v>
      </c>
      <c r="B29" s="38" t="s">
        <v>703</v>
      </c>
      <c r="C29" s="97">
        <f>D29+K29+M29+O29+Q29+S29+U29+V29+W29+X29</f>
        <v>3346363</v>
      </c>
      <c r="D29" s="86">
        <f>E29+F29+G29+H29+I29</f>
        <v>0</v>
      </c>
      <c r="E29" s="97"/>
      <c r="F29" s="97"/>
      <c r="G29" s="97"/>
      <c r="H29" s="97"/>
      <c r="I29" s="97"/>
      <c r="J29" s="97"/>
      <c r="K29" s="97"/>
      <c r="L29" s="97">
        <v>1298.02</v>
      </c>
      <c r="M29" s="97">
        <v>3346363</v>
      </c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14"/>
      <c r="Z29" s="12"/>
      <c r="AA29" s="12"/>
      <c r="AB29" s="12"/>
      <c r="AC29" s="12"/>
    </row>
    <row r="30" spans="1:29" ht="12.75" customHeight="1">
      <c r="A30" s="103" t="s">
        <v>597</v>
      </c>
      <c r="B30" s="104"/>
      <c r="C30" s="97">
        <f>SUM(C29:C29)</f>
        <v>3346363</v>
      </c>
      <c r="D30" s="97">
        <f aca="true" t="shared" si="5" ref="D30:X30">SUM(D29:D29)</f>
        <v>0</v>
      </c>
      <c r="E30" s="97">
        <f t="shared" si="5"/>
        <v>0</v>
      </c>
      <c r="F30" s="97">
        <f t="shared" si="5"/>
        <v>0</v>
      </c>
      <c r="G30" s="97">
        <f t="shared" si="5"/>
        <v>0</v>
      </c>
      <c r="H30" s="97">
        <f t="shared" si="5"/>
        <v>0</v>
      </c>
      <c r="I30" s="97">
        <f t="shared" si="5"/>
        <v>0</v>
      </c>
      <c r="J30" s="97">
        <f t="shared" si="5"/>
        <v>0</v>
      </c>
      <c r="K30" s="97">
        <f t="shared" si="5"/>
        <v>0</v>
      </c>
      <c r="L30" s="97">
        <f t="shared" si="5"/>
        <v>1298.02</v>
      </c>
      <c r="M30" s="97">
        <f t="shared" si="5"/>
        <v>3346363</v>
      </c>
      <c r="N30" s="97">
        <f t="shared" si="5"/>
        <v>0</v>
      </c>
      <c r="O30" s="97">
        <f t="shared" si="5"/>
        <v>0</v>
      </c>
      <c r="P30" s="97">
        <f t="shared" si="5"/>
        <v>0</v>
      </c>
      <c r="Q30" s="97">
        <f t="shared" si="5"/>
        <v>0</v>
      </c>
      <c r="R30" s="97">
        <f t="shared" si="5"/>
        <v>0</v>
      </c>
      <c r="S30" s="97">
        <f t="shared" si="5"/>
        <v>0</v>
      </c>
      <c r="T30" s="97">
        <f t="shared" si="5"/>
        <v>0</v>
      </c>
      <c r="U30" s="97">
        <f t="shared" si="5"/>
        <v>0</v>
      </c>
      <c r="V30" s="97">
        <f t="shared" si="5"/>
        <v>0</v>
      </c>
      <c r="W30" s="97">
        <f t="shared" si="5"/>
        <v>0</v>
      </c>
      <c r="X30" s="97">
        <f t="shared" si="5"/>
        <v>0</v>
      </c>
      <c r="Y30" s="14"/>
      <c r="Z30" s="12"/>
      <c r="AA30" s="12"/>
      <c r="AB30" s="12"/>
      <c r="AC30" s="12"/>
    </row>
    <row r="31" spans="1:29" ht="12.75" customHeight="1">
      <c r="A31" s="105" t="s">
        <v>599</v>
      </c>
      <c r="B31" s="110"/>
      <c r="C31" s="106"/>
      <c r="D31" s="107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9"/>
      <c r="Y31" s="14"/>
      <c r="Z31" s="12"/>
      <c r="AA31" s="12"/>
      <c r="AB31" s="12"/>
      <c r="AC31" s="12"/>
    </row>
    <row r="32" spans="1:29" ht="12.75" customHeight="1">
      <c r="A32" s="10">
        <f>A29+1</f>
        <v>16</v>
      </c>
      <c r="B32" s="15" t="s">
        <v>93</v>
      </c>
      <c r="C32" s="97">
        <f>D32+K32+M32+O32+Q32+S32+U32+V32+W32+X32</f>
        <v>94883</v>
      </c>
      <c r="D32" s="86">
        <f>E32+F32+G32+H32+I32</f>
        <v>0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>
        <v>94883</v>
      </c>
      <c r="X32" s="86"/>
      <c r="Y32" s="11"/>
      <c r="Z32" s="12"/>
      <c r="AA32" s="12"/>
      <c r="AB32" s="12"/>
      <c r="AC32" s="12"/>
    </row>
    <row r="33" spans="1:29" ht="12.75" customHeight="1">
      <c r="A33" s="10">
        <f>A32+1</f>
        <v>17</v>
      </c>
      <c r="B33" s="15" t="s">
        <v>95</v>
      </c>
      <c r="C33" s="97">
        <f>D33+K33+M33+O33+Q33+S33+U33+V33+W33+X33</f>
        <v>94883</v>
      </c>
      <c r="D33" s="86">
        <f>E33+F33+G33+H33+I33</f>
        <v>0</v>
      </c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>
        <v>94883</v>
      </c>
      <c r="X33" s="86"/>
      <c r="Y33" s="11"/>
      <c r="Z33" s="12"/>
      <c r="AA33" s="12"/>
      <c r="AB33" s="12"/>
      <c r="AC33" s="12"/>
    </row>
    <row r="34" spans="1:29" ht="12.75" customHeight="1">
      <c r="A34" s="10">
        <f>A33+1</f>
        <v>18</v>
      </c>
      <c r="B34" s="15" t="s">
        <v>96</v>
      </c>
      <c r="C34" s="97">
        <f>D34+K34+M34+O34+Q34+S34+U34+V34+W34+X34</f>
        <v>89814</v>
      </c>
      <c r="D34" s="86">
        <f>E34+F34+G34+H34+I34</f>
        <v>0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>
        <v>89814</v>
      </c>
      <c r="X34" s="86"/>
      <c r="Y34" s="11"/>
      <c r="Z34" s="12"/>
      <c r="AA34" s="12"/>
      <c r="AB34" s="12"/>
      <c r="AC34" s="12"/>
    </row>
    <row r="35" spans="1:29" ht="12.75" customHeight="1">
      <c r="A35" s="103" t="s">
        <v>597</v>
      </c>
      <c r="B35" s="104"/>
      <c r="C35" s="86">
        <f>SUM(C32:C34)</f>
        <v>279580</v>
      </c>
      <c r="D35" s="86">
        <f aca="true" t="shared" si="6" ref="D35:X35">SUM(D32:D34)</f>
        <v>0</v>
      </c>
      <c r="E35" s="86">
        <f t="shared" si="6"/>
        <v>0</v>
      </c>
      <c r="F35" s="86">
        <f t="shared" si="6"/>
        <v>0</v>
      </c>
      <c r="G35" s="86">
        <f t="shared" si="6"/>
        <v>0</v>
      </c>
      <c r="H35" s="86">
        <f t="shared" si="6"/>
        <v>0</v>
      </c>
      <c r="I35" s="86">
        <f t="shared" si="6"/>
        <v>0</v>
      </c>
      <c r="J35" s="86">
        <f t="shared" si="6"/>
        <v>0</v>
      </c>
      <c r="K35" s="86">
        <f t="shared" si="6"/>
        <v>0</v>
      </c>
      <c r="L35" s="86">
        <f t="shared" si="6"/>
        <v>0</v>
      </c>
      <c r="M35" s="86">
        <f t="shared" si="6"/>
        <v>0</v>
      </c>
      <c r="N35" s="86">
        <f t="shared" si="6"/>
        <v>0</v>
      </c>
      <c r="O35" s="86">
        <f t="shared" si="6"/>
        <v>0</v>
      </c>
      <c r="P35" s="86">
        <f t="shared" si="6"/>
        <v>0</v>
      </c>
      <c r="Q35" s="86">
        <f t="shared" si="6"/>
        <v>0</v>
      </c>
      <c r="R35" s="86">
        <f t="shared" si="6"/>
        <v>0</v>
      </c>
      <c r="S35" s="86">
        <f t="shared" si="6"/>
        <v>0</v>
      </c>
      <c r="T35" s="86">
        <f t="shared" si="6"/>
        <v>0</v>
      </c>
      <c r="U35" s="86">
        <f t="shared" si="6"/>
        <v>0</v>
      </c>
      <c r="V35" s="86">
        <f t="shared" si="6"/>
        <v>0</v>
      </c>
      <c r="W35" s="86">
        <f t="shared" si="6"/>
        <v>279580</v>
      </c>
      <c r="X35" s="86">
        <f t="shared" si="6"/>
        <v>0</v>
      </c>
      <c r="Y35" s="14"/>
      <c r="Z35" s="12"/>
      <c r="AA35" s="12"/>
      <c r="AB35" s="12"/>
      <c r="AC35" s="12"/>
    </row>
    <row r="36" spans="1:29" ht="17.25" customHeight="1">
      <c r="A36" s="102" t="s">
        <v>600</v>
      </c>
      <c r="B36" s="102"/>
      <c r="C36" s="102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4"/>
      <c r="Z36" s="12"/>
      <c r="AA36" s="12"/>
      <c r="AB36" s="12"/>
      <c r="AC36" s="12"/>
    </row>
    <row r="37" spans="1:29" ht="17.25" customHeight="1">
      <c r="A37" s="96">
        <f>A34+1</f>
        <v>19</v>
      </c>
      <c r="B37" s="13" t="s">
        <v>846</v>
      </c>
      <c r="C37" s="97">
        <f aca="true" t="shared" si="7" ref="C37:C44">D37+K37+M37+O37+Q37+S37+U37+V37+W37+X37</f>
        <v>1214078</v>
      </c>
      <c r="D37" s="86"/>
      <c r="E37" s="86"/>
      <c r="F37" s="86"/>
      <c r="G37" s="86"/>
      <c r="H37" s="86"/>
      <c r="I37" s="86"/>
      <c r="J37" s="86"/>
      <c r="K37" s="86"/>
      <c r="L37" s="86">
        <v>985</v>
      </c>
      <c r="M37" s="86">
        <v>1214078</v>
      </c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14"/>
      <c r="Z37" s="12"/>
      <c r="AA37" s="12"/>
      <c r="AB37" s="12"/>
      <c r="AC37" s="12"/>
    </row>
    <row r="38" spans="1:29" ht="17.25" customHeight="1">
      <c r="A38" s="96">
        <f aca="true" t="shared" si="8" ref="A38:A44">A37+1</f>
        <v>20</v>
      </c>
      <c r="B38" s="13" t="s">
        <v>847</v>
      </c>
      <c r="C38" s="97">
        <f t="shared" si="7"/>
        <v>1109422</v>
      </c>
      <c r="D38" s="86"/>
      <c r="E38" s="86"/>
      <c r="F38" s="86"/>
      <c r="G38" s="86"/>
      <c r="H38" s="86"/>
      <c r="I38" s="86"/>
      <c r="J38" s="86"/>
      <c r="K38" s="86"/>
      <c r="L38" s="86">
        <v>1083</v>
      </c>
      <c r="M38" s="86">
        <v>1109422</v>
      </c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14"/>
      <c r="Z38" s="12"/>
      <c r="AA38" s="12"/>
      <c r="AB38" s="12"/>
      <c r="AC38" s="12"/>
    </row>
    <row r="39" spans="1:29" ht="17.25" customHeight="1">
      <c r="A39" s="96">
        <f t="shared" si="8"/>
        <v>21</v>
      </c>
      <c r="B39" s="13" t="s">
        <v>848</v>
      </c>
      <c r="C39" s="97">
        <f t="shared" si="7"/>
        <v>1245381</v>
      </c>
      <c r="D39" s="86"/>
      <c r="E39" s="86"/>
      <c r="F39" s="86"/>
      <c r="G39" s="86"/>
      <c r="H39" s="86"/>
      <c r="I39" s="86"/>
      <c r="J39" s="86"/>
      <c r="K39" s="86"/>
      <c r="L39" s="86">
        <v>985</v>
      </c>
      <c r="M39" s="86">
        <v>1245381</v>
      </c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14"/>
      <c r="Z39" s="12"/>
      <c r="AA39" s="12"/>
      <c r="AB39" s="12"/>
      <c r="AC39" s="12"/>
    </row>
    <row r="40" spans="1:29" ht="17.25" customHeight="1">
      <c r="A40" s="96">
        <f t="shared" si="8"/>
        <v>22</v>
      </c>
      <c r="B40" s="13" t="s">
        <v>849</v>
      </c>
      <c r="C40" s="97">
        <f t="shared" si="7"/>
        <v>2136650</v>
      </c>
      <c r="D40" s="86"/>
      <c r="E40" s="86"/>
      <c r="F40" s="86"/>
      <c r="G40" s="86"/>
      <c r="H40" s="86"/>
      <c r="I40" s="86"/>
      <c r="J40" s="86"/>
      <c r="K40" s="86"/>
      <c r="L40" s="86">
        <v>983</v>
      </c>
      <c r="M40" s="86">
        <v>2136650</v>
      </c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14"/>
      <c r="Z40" s="12"/>
      <c r="AA40" s="12"/>
      <c r="AB40" s="12"/>
      <c r="AC40" s="12"/>
    </row>
    <row r="41" spans="1:29" ht="12.75" customHeight="1">
      <c r="A41" s="96">
        <f t="shared" si="8"/>
        <v>23</v>
      </c>
      <c r="B41" s="13" t="s">
        <v>97</v>
      </c>
      <c r="C41" s="97">
        <f t="shared" si="7"/>
        <v>6002761</v>
      </c>
      <c r="D41" s="86">
        <f>E41+F41+G41+H41+I41</f>
        <v>0</v>
      </c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>
        <v>1281173</v>
      </c>
      <c r="R41" s="86"/>
      <c r="S41" s="86"/>
      <c r="T41" s="86">
        <v>1440</v>
      </c>
      <c r="U41" s="86">
        <v>4721588</v>
      </c>
      <c r="V41" s="86"/>
      <c r="W41" s="86"/>
      <c r="X41" s="86"/>
      <c r="Y41" s="14"/>
      <c r="Z41" s="12"/>
      <c r="AA41" s="12"/>
      <c r="AB41" s="12"/>
      <c r="AC41" s="12"/>
    </row>
    <row r="42" spans="1:29" ht="12.75" customHeight="1">
      <c r="A42" s="10">
        <f t="shared" si="8"/>
        <v>24</v>
      </c>
      <c r="B42" s="13" t="s">
        <v>98</v>
      </c>
      <c r="C42" s="97">
        <f t="shared" si="7"/>
        <v>2106649</v>
      </c>
      <c r="D42" s="86">
        <f>E42+F42+G42+H42+I42</f>
        <v>0</v>
      </c>
      <c r="E42" s="86"/>
      <c r="F42" s="86"/>
      <c r="G42" s="86"/>
      <c r="H42" s="86"/>
      <c r="I42" s="86"/>
      <c r="J42" s="86"/>
      <c r="K42" s="86"/>
      <c r="L42" s="86">
        <v>515</v>
      </c>
      <c r="M42" s="86">
        <v>2106649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14"/>
      <c r="Z42" s="12"/>
      <c r="AA42" s="12"/>
      <c r="AB42" s="12"/>
      <c r="AC42" s="12"/>
    </row>
    <row r="43" spans="1:29" ht="12.75" customHeight="1">
      <c r="A43" s="10">
        <f t="shared" si="8"/>
        <v>25</v>
      </c>
      <c r="B43" s="13" t="s">
        <v>99</v>
      </c>
      <c r="C43" s="97">
        <f t="shared" si="7"/>
        <v>2151248</v>
      </c>
      <c r="D43" s="86">
        <f>E43+F43+G43+H43+I43</f>
        <v>0</v>
      </c>
      <c r="E43" s="86"/>
      <c r="F43" s="86"/>
      <c r="G43" s="86"/>
      <c r="H43" s="86"/>
      <c r="I43" s="86"/>
      <c r="J43" s="86"/>
      <c r="K43" s="86"/>
      <c r="L43" s="86">
        <v>600</v>
      </c>
      <c r="M43" s="86">
        <v>2151248</v>
      </c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14"/>
      <c r="Z43" s="12"/>
      <c r="AA43" s="12"/>
      <c r="AB43" s="12"/>
      <c r="AC43" s="12"/>
    </row>
    <row r="44" spans="1:29" ht="12.75" customHeight="1">
      <c r="A44" s="10">
        <f t="shared" si="8"/>
        <v>26</v>
      </c>
      <c r="B44" s="13" t="s">
        <v>100</v>
      </c>
      <c r="C44" s="97">
        <f t="shared" si="7"/>
        <v>1948005</v>
      </c>
      <c r="D44" s="86">
        <f>E44+F44+G44+H44+I44</f>
        <v>0</v>
      </c>
      <c r="E44" s="86"/>
      <c r="F44" s="86"/>
      <c r="G44" s="86"/>
      <c r="H44" s="86"/>
      <c r="I44" s="86"/>
      <c r="J44" s="86"/>
      <c r="K44" s="86"/>
      <c r="L44" s="86">
        <v>514</v>
      </c>
      <c r="M44" s="86">
        <v>1948005</v>
      </c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14"/>
      <c r="Z44" s="12"/>
      <c r="AA44" s="12"/>
      <c r="AB44" s="12"/>
      <c r="AC44" s="12"/>
    </row>
    <row r="45" spans="1:29" ht="12.75" customHeight="1">
      <c r="A45" s="103" t="s">
        <v>597</v>
      </c>
      <c r="B45" s="104"/>
      <c r="C45" s="97">
        <f>SUM(C37:C44)</f>
        <v>17914194</v>
      </c>
      <c r="D45" s="97">
        <f aca="true" t="shared" si="9" ref="D45:X45">SUM(D37:D44)</f>
        <v>0</v>
      </c>
      <c r="E45" s="97">
        <f t="shared" si="9"/>
        <v>0</v>
      </c>
      <c r="F45" s="97">
        <f t="shared" si="9"/>
        <v>0</v>
      </c>
      <c r="G45" s="97">
        <f t="shared" si="9"/>
        <v>0</v>
      </c>
      <c r="H45" s="97">
        <f t="shared" si="9"/>
        <v>0</v>
      </c>
      <c r="I45" s="97">
        <f t="shared" si="9"/>
        <v>0</v>
      </c>
      <c r="J45" s="97">
        <f t="shared" si="9"/>
        <v>0</v>
      </c>
      <c r="K45" s="97">
        <f t="shared" si="9"/>
        <v>0</v>
      </c>
      <c r="L45" s="97">
        <f t="shared" si="9"/>
        <v>5665</v>
      </c>
      <c r="M45" s="97">
        <f t="shared" si="9"/>
        <v>11911433</v>
      </c>
      <c r="N45" s="97">
        <f t="shared" si="9"/>
        <v>0</v>
      </c>
      <c r="O45" s="97">
        <f t="shared" si="9"/>
        <v>0</v>
      </c>
      <c r="P45" s="97">
        <f t="shared" si="9"/>
        <v>0</v>
      </c>
      <c r="Q45" s="97">
        <f t="shared" si="9"/>
        <v>1281173</v>
      </c>
      <c r="R45" s="97">
        <f t="shared" si="9"/>
        <v>0</v>
      </c>
      <c r="S45" s="97">
        <f t="shared" si="9"/>
        <v>0</v>
      </c>
      <c r="T45" s="97">
        <f t="shared" si="9"/>
        <v>1440</v>
      </c>
      <c r="U45" s="97">
        <f t="shared" si="9"/>
        <v>4721588</v>
      </c>
      <c r="V45" s="97">
        <f t="shared" si="9"/>
        <v>0</v>
      </c>
      <c r="W45" s="97">
        <f t="shared" si="9"/>
        <v>0</v>
      </c>
      <c r="X45" s="97">
        <f t="shared" si="9"/>
        <v>0</v>
      </c>
      <c r="Y45" s="14"/>
      <c r="Z45" s="12"/>
      <c r="AA45" s="12"/>
      <c r="AB45" s="12"/>
      <c r="AC45" s="12"/>
    </row>
    <row r="46" spans="1:29" ht="12.75" customHeight="1">
      <c r="A46" s="105" t="s">
        <v>601</v>
      </c>
      <c r="B46" s="106"/>
      <c r="C46" s="83">
        <f>C24+C35+C27+C45+C30</f>
        <v>44935656</v>
      </c>
      <c r="D46" s="83">
        <f aca="true" t="shared" si="10" ref="D46:X46">D24+D35+D27+D45+D30</f>
        <v>11305972</v>
      </c>
      <c r="E46" s="83">
        <f t="shared" si="10"/>
        <v>6424566</v>
      </c>
      <c r="F46" s="83">
        <f t="shared" si="10"/>
        <v>269016</v>
      </c>
      <c r="G46" s="83">
        <f t="shared" si="10"/>
        <v>1645414</v>
      </c>
      <c r="H46" s="83">
        <f t="shared" si="10"/>
        <v>2200594</v>
      </c>
      <c r="I46" s="83">
        <f t="shared" si="10"/>
        <v>766382</v>
      </c>
      <c r="J46" s="83">
        <f t="shared" si="10"/>
        <v>0</v>
      </c>
      <c r="K46" s="83">
        <f t="shared" si="10"/>
        <v>0</v>
      </c>
      <c r="L46" s="83">
        <f t="shared" si="10"/>
        <v>8626.14</v>
      </c>
      <c r="M46" s="83">
        <f t="shared" si="10"/>
        <v>20644491</v>
      </c>
      <c r="N46" s="83">
        <f t="shared" si="10"/>
        <v>0</v>
      </c>
      <c r="O46" s="83">
        <f t="shared" si="10"/>
        <v>0</v>
      </c>
      <c r="P46" s="83">
        <f t="shared" si="10"/>
        <v>3362.4</v>
      </c>
      <c r="Q46" s="83">
        <f t="shared" si="10"/>
        <v>6650861</v>
      </c>
      <c r="R46" s="83">
        <f t="shared" si="10"/>
        <v>0</v>
      </c>
      <c r="S46" s="83">
        <f t="shared" si="10"/>
        <v>0</v>
      </c>
      <c r="T46" s="83">
        <f t="shared" si="10"/>
        <v>1440</v>
      </c>
      <c r="U46" s="83">
        <f t="shared" si="10"/>
        <v>4721588</v>
      </c>
      <c r="V46" s="83">
        <f t="shared" si="10"/>
        <v>674119</v>
      </c>
      <c r="W46" s="83">
        <f t="shared" si="10"/>
        <v>938625</v>
      </c>
      <c r="X46" s="83">
        <f t="shared" si="10"/>
        <v>0</v>
      </c>
      <c r="Y46" s="14"/>
      <c r="Z46" s="12"/>
      <c r="AA46" s="12"/>
      <c r="AB46" s="12"/>
      <c r="AC46" s="12"/>
    </row>
    <row r="47" spans="1:29" ht="12.75" customHeight="1">
      <c r="A47" s="111" t="s">
        <v>602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3"/>
      <c r="Y47" s="14"/>
      <c r="Z47" s="12"/>
      <c r="AB47" s="12"/>
      <c r="AC47" s="12"/>
    </row>
    <row r="48" spans="1:29" ht="14.25" customHeight="1">
      <c r="A48" s="105" t="s">
        <v>704</v>
      </c>
      <c r="B48" s="110"/>
      <c r="C48" s="106"/>
      <c r="D48" s="111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3"/>
      <c r="Y48" s="14"/>
      <c r="Z48" s="12"/>
      <c r="AB48" s="12"/>
      <c r="AC48" s="12"/>
    </row>
    <row r="49" spans="1:29" ht="14.25" customHeight="1">
      <c r="A49" s="96">
        <f>A44+1</f>
        <v>27</v>
      </c>
      <c r="B49" s="188" t="s">
        <v>102</v>
      </c>
      <c r="C49" s="97">
        <f>D49+K49+M49+O49+Q49+S49+U49+V49+W49+X49</f>
        <v>1463528</v>
      </c>
      <c r="D49" s="86">
        <f>E49+F49+G49+H49+I49</f>
        <v>0</v>
      </c>
      <c r="E49" s="97"/>
      <c r="F49" s="97"/>
      <c r="G49" s="97"/>
      <c r="H49" s="97"/>
      <c r="I49" s="97"/>
      <c r="J49" s="97"/>
      <c r="K49" s="97"/>
      <c r="L49" s="97">
        <v>725</v>
      </c>
      <c r="M49" s="97">
        <v>1463528</v>
      </c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14"/>
      <c r="Z49" s="12"/>
      <c r="AB49" s="12"/>
      <c r="AC49" s="12"/>
    </row>
    <row r="50" spans="1:29" ht="14.25" customHeight="1">
      <c r="A50" s="103" t="s">
        <v>597</v>
      </c>
      <c r="B50" s="104"/>
      <c r="C50" s="86">
        <f>SUM(C49:C49)</f>
        <v>1463528</v>
      </c>
      <c r="D50" s="86">
        <f aca="true" t="shared" si="11" ref="D50:X50">SUM(D49:D49)</f>
        <v>0</v>
      </c>
      <c r="E50" s="86">
        <f t="shared" si="11"/>
        <v>0</v>
      </c>
      <c r="F50" s="86">
        <f t="shared" si="11"/>
        <v>0</v>
      </c>
      <c r="G50" s="86">
        <f t="shared" si="11"/>
        <v>0</v>
      </c>
      <c r="H50" s="86">
        <f t="shared" si="11"/>
        <v>0</v>
      </c>
      <c r="I50" s="86">
        <f t="shared" si="11"/>
        <v>0</v>
      </c>
      <c r="J50" s="86">
        <f t="shared" si="11"/>
        <v>0</v>
      </c>
      <c r="K50" s="86">
        <f t="shared" si="11"/>
        <v>0</v>
      </c>
      <c r="L50" s="86">
        <f t="shared" si="11"/>
        <v>725</v>
      </c>
      <c r="M50" s="86">
        <f t="shared" si="11"/>
        <v>1463528</v>
      </c>
      <c r="N50" s="86">
        <f t="shared" si="11"/>
        <v>0</v>
      </c>
      <c r="O50" s="86">
        <f t="shared" si="11"/>
        <v>0</v>
      </c>
      <c r="P50" s="86">
        <f t="shared" si="11"/>
        <v>0</v>
      </c>
      <c r="Q50" s="86">
        <f t="shared" si="11"/>
        <v>0</v>
      </c>
      <c r="R50" s="86">
        <f t="shared" si="11"/>
        <v>0</v>
      </c>
      <c r="S50" s="86">
        <f t="shared" si="11"/>
        <v>0</v>
      </c>
      <c r="T50" s="86">
        <f t="shared" si="11"/>
        <v>0</v>
      </c>
      <c r="U50" s="86">
        <f t="shared" si="11"/>
        <v>0</v>
      </c>
      <c r="V50" s="86">
        <f t="shared" si="11"/>
        <v>0</v>
      </c>
      <c r="W50" s="86">
        <f t="shared" si="11"/>
        <v>0</v>
      </c>
      <c r="X50" s="86">
        <f t="shared" si="11"/>
        <v>0</v>
      </c>
      <c r="Y50" s="14"/>
      <c r="Z50" s="12"/>
      <c r="AA50" s="12"/>
      <c r="AB50" s="12"/>
      <c r="AC50" s="12"/>
    </row>
    <row r="51" spans="1:29" ht="14.25" customHeight="1">
      <c r="A51" s="105" t="s">
        <v>603</v>
      </c>
      <c r="B51" s="110"/>
      <c r="C51" s="106"/>
      <c r="D51" s="111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3"/>
      <c r="Y51" s="14"/>
      <c r="Z51" s="12"/>
      <c r="AB51" s="12"/>
      <c r="AC51" s="12"/>
    </row>
    <row r="52" spans="1:29" ht="14.25" customHeight="1">
      <c r="A52" s="96">
        <f>A49+1</f>
        <v>28</v>
      </c>
      <c r="B52" s="13" t="s">
        <v>103</v>
      </c>
      <c r="C52" s="97">
        <f>D52+K52+M52+O52+Q52+S52+U52+V52+W52+X52</f>
        <v>4234732</v>
      </c>
      <c r="D52" s="86">
        <f>E52+F52+G52+H52+I52</f>
        <v>0</v>
      </c>
      <c r="E52" s="97"/>
      <c r="F52" s="97"/>
      <c r="G52" s="97"/>
      <c r="H52" s="97"/>
      <c r="I52" s="97"/>
      <c r="J52" s="97"/>
      <c r="K52" s="97"/>
      <c r="L52" s="16">
        <v>970</v>
      </c>
      <c r="M52" s="97">
        <v>1641749</v>
      </c>
      <c r="N52" s="97"/>
      <c r="O52" s="97"/>
      <c r="P52" s="97">
        <v>984</v>
      </c>
      <c r="Q52" s="97">
        <v>2592983</v>
      </c>
      <c r="R52" s="97"/>
      <c r="S52" s="97"/>
      <c r="T52" s="97"/>
      <c r="U52" s="97"/>
      <c r="V52" s="97"/>
      <c r="W52" s="97"/>
      <c r="X52" s="97"/>
      <c r="Y52" s="14"/>
      <c r="Z52" s="12"/>
      <c r="AA52" s="12"/>
      <c r="AB52" s="12"/>
      <c r="AC52" s="12"/>
    </row>
    <row r="53" spans="1:29" ht="14.25" customHeight="1">
      <c r="A53" s="96">
        <f>A52+1</f>
        <v>29</v>
      </c>
      <c r="B53" s="13" t="s">
        <v>104</v>
      </c>
      <c r="C53" s="97">
        <f>D53+K53+M53+O53+Q53+S53+U53+V53+W53+X53</f>
        <v>7517171</v>
      </c>
      <c r="D53" s="86">
        <f>E53+F53+G53+H53+I53</f>
        <v>0</v>
      </c>
      <c r="E53" s="97"/>
      <c r="F53" s="97"/>
      <c r="G53" s="36"/>
      <c r="H53" s="37"/>
      <c r="I53" s="97"/>
      <c r="J53" s="97"/>
      <c r="K53" s="97"/>
      <c r="L53" s="16">
        <v>1800</v>
      </c>
      <c r="M53" s="97">
        <v>3623093</v>
      </c>
      <c r="N53" s="97"/>
      <c r="O53" s="97"/>
      <c r="P53" s="97">
        <v>3400</v>
      </c>
      <c r="Q53" s="97">
        <v>3193098</v>
      </c>
      <c r="R53" s="97"/>
      <c r="S53" s="97"/>
      <c r="T53" s="97"/>
      <c r="U53" s="97"/>
      <c r="V53" s="97"/>
      <c r="W53" s="86">
        <f>328630+372350</f>
        <v>700980</v>
      </c>
      <c r="X53" s="97"/>
      <c r="Y53" s="14"/>
      <c r="Z53" s="12"/>
      <c r="AA53" s="12"/>
      <c r="AB53" s="12"/>
      <c r="AC53" s="12"/>
    </row>
    <row r="54" spans="1:29" ht="14.25" customHeight="1">
      <c r="A54" s="103" t="s">
        <v>597</v>
      </c>
      <c r="B54" s="104"/>
      <c r="C54" s="97">
        <f>SUM(C52:C53)</f>
        <v>11751903</v>
      </c>
      <c r="D54" s="97">
        <f aca="true" t="shared" si="12" ref="D54:X54">SUM(D52:D53)</f>
        <v>0</v>
      </c>
      <c r="E54" s="97">
        <f t="shared" si="12"/>
        <v>0</v>
      </c>
      <c r="F54" s="97">
        <f t="shared" si="12"/>
        <v>0</v>
      </c>
      <c r="G54" s="97">
        <f t="shared" si="12"/>
        <v>0</v>
      </c>
      <c r="H54" s="97">
        <f t="shared" si="12"/>
        <v>0</v>
      </c>
      <c r="I54" s="97">
        <f t="shared" si="12"/>
        <v>0</v>
      </c>
      <c r="J54" s="97">
        <f t="shared" si="12"/>
        <v>0</v>
      </c>
      <c r="K54" s="97">
        <f t="shared" si="12"/>
        <v>0</v>
      </c>
      <c r="L54" s="97">
        <f t="shared" si="12"/>
        <v>2770</v>
      </c>
      <c r="M54" s="97">
        <f t="shared" si="12"/>
        <v>5264842</v>
      </c>
      <c r="N54" s="97">
        <f t="shared" si="12"/>
        <v>0</v>
      </c>
      <c r="O54" s="97">
        <f t="shared" si="12"/>
        <v>0</v>
      </c>
      <c r="P54" s="97">
        <f t="shared" si="12"/>
        <v>4384</v>
      </c>
      <c r="Q54" s="97">
        <f t="shared" si="12"/>
        <v>5786081</v>
      </c>
      <c r="R54" s="97">
        <f t="shared" si="12"/>
        <v>0</v>
      </c>
      <c r="S54" s="97">
        <f t="shared" si="12"/>
        <v>0</v>
      </c>
      <c r="T54" s="97">
        <f t="shared" si="12"/>
        <v>0</v>
      </c>
      <c r="U54" s="97">
        <f t="shared" si="12"/>
        <v>0</v>
      </c>
      <c r="V54" s="97">
        <f t="shared" si="12"/>
        <v>0</v>
      </c>
      <c r="W54" s="97">
        <f t="shared" si="12"/>
        <v>700980</v>
      </c>
      <c r="X54" s="97">
        <f t="shared" si="12"/>
        <v>0</v>
      </c>
      <c r="Y54" s="14"/>
      <c r="Z54" s="12"/>
      <c r="AA54" s="12"/>
      <c r="AB54" s="12"/>
      <c r="AC54" s="12"/>
    </row>
    <row r="55" spans="1:29" ht="14.25" customHeight="1">
      <c r="A55" s="105" t="s">
        <v>675</v>
      </c>
      <c r="B55" s="110"/>
      <c r="C55" s="106"/>
      <c r="D55" s="111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3"/>
      <c r="Y55" s="14"/>
      <c r="Z55" s="12"/>
      <c r="AB55" s="12"/>
      <c r="AC55" s="12"/>
    </row>
    <row r="56" spans="1:29" ht="14.25" customHeight="1">
      <c r="A56" s="96">
        <f>A53+1</f>
        <v>30</v>
      </c>
      <c r="B56" s="13" t="s">
        <v>105</v>
      </c>
      <c r="C56" s="97">
        <f>D56+K56+M56+O56+Q56+S56+U56+V56+W56+X56</f>
        <v>2264694</v>
      </c>
      <c r="D56" s="86">
        <f>E56+F56+G56+H56+I56</f>
        <v>0</v>
      </c>
      <c r="E56" s="97"/>
      <c r="F56" s="97"/>
      <c r="G56" s="97"/>
      <c r="H56" s="97"/>
      <c r="I56" s="97"/>
      <c r="J56" s="97"/>
      <c r="K56" s="97"/>
      <c r="L56" s="97">
        <v>1200</v>
      </c>
      <c r="M56" s="97">
        <v>2264694</v>
      </c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14"/>
      <c r="Z56" s="12"/>
      <c r="AB56" s="12"/>
      <c r="AC56" s="12"/>
    </row>
    <row r="57" spans="1:29" ht="14.25" customHeight="1">
      <c r="A57" s="103" t="s">
        <v>597</v>
      </c>
      <c r="B57" s="104"/>
      <c r="C57" s="97">
        <f>SUM(C56:C56)</f>
        <v>2264694</v>
      </c>
      <c r="D57" s="97">
        <f aca="true" t="shared" si="13" ref="D57:X57">SUM(D56:D56)</f>
        <v>0</v>
      </c>
      <c r="E57" s="97">
        <f t="shared" si="13"/>
        <v>0</v>
      </c>
      <c r="F57" s="97">
        <f t="shared" si="13"/>
        <v>0</v>
      </c>
      <c r="G57" s="97">
        <f t="shared" si="13"/>
        <v>0</v>
      </c>
      <c r="H57" s="97">
        <f t="shared" si="13"/>
        <v>0</v>
      </c>
      <c r="I57" s="97">
        <f t="shared" si="13"/>
        <v>0</v>
      </c>
      <c r="J57" s="97">
        <f t="shared" si="13"/>
        <v>0</v>
      </c>
      <c r="K57" s="97">
        <f t="shared" si="13"/>
        <v>0</v>
      </c>
      <c r="L57" s="97">
        <f t="shared" si="13"/>
        <v>1200</v>
      </c>
      <c r="M57" s="97">
        <f t="shared" si="13"/>
        <v>2264694</v>
      </c>
      <c r="N57" s="97">
        <f t="shared" si="13"/>
        <v>0</v>
      </c>
      <c r="O57" s="97">
        <f t="shared" si="13"/>
        <v>0</v>
      </c>
      <c r="P57" s="97">
        <f t="shared" si="13"/>
        <v>0</v>
      </c>
      <c r="Q57" s="97">
        <f t="shared" si="13"/>
        <v>0</v>
      </c>
      <c r="R57" s="97">
        <f t="shared" si="13"/>
        <v>0</v>
      </c>
      <c r="S57" s="97">
        <f t="shared" si="13"/>
        <v>0</v>
      </c>
      <c r="T57" s="97">
        <f t="shared" si="13"/>
        <v>0</v>
      </c>
      <c r="U57" s="97">
        <f t="shared" si="13"/>
        <v>0</v>
      </c>
      <c r="V57" s="97">
        <f t="shared" si="13"/>
        <v>0</v>
      </c>
      <c r="W57" s="97">
        <f t="shared" si="13"/>
        <v>0</v>
      </c>
      <c r="X57" s="97">
        <f t="shared" si="13"/>
        <v>0</v>
      </c>
      <c r="Y57" s="14"/>
      <c r="Z57" s="12"/>
      <c r="AA57" s="12"/>
      <c r="AB57" s="12"/>
      <c r="AC57" s="12"/>
    </row>
    <row r="58" spans="1:29" ht="14.25" customHeight="1">
      <c r="A58" s="124" t="s">
        <v>676</v>
      </c>
      <c r="B58" s="125"/>
      <c r="C58" s="126"/>
      <c r="D58" s="141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3"/>
      <c r="Y58" s="14"/>
      <c r="Z58" s="12"/>
      <c r="AB58" s="12"/>
      <c r="AC58" s="12"/>
    </row>
    <row r="59" spans="1:29" ht="14.25" customHeight="1">
      <c r="A59" s="10">
        <f>A56+1</f>
        <v>31</v>
      </c>
      <c r="B59" s="13" t="s">
        <v>107</v>
      </c>
      <c r="C59" s="97">
        <f>D59+K59+M59+O59+Q59+S59+U59+V59+W59+X59</f>
        <v>1436788</v>
      </c>
      <c r="D59" s="86">
        <f>E59+F59+G59+H59+I59</f>
        <v>0</v>
      </c>
      <c r="E59" s="97"/>
      <c r="F59" s="97"/>
      <c r="G59" s="97"/>
      <c r="H59" s="97"/>
      <c r="I59" s="97"/>
      <c r="J59" s="97"/>
      <c r="K59" s="97"/>
      <c r="L59" s="97">
        <v>800</v>
      </c>
      <c r="M59" s="97">
        <v>1436788</v>
      </c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14"/>
      <c r="Z59" s="12"/>
      <c r="AB59" s="12"/>
      <c r="AC59" s="12"/>
    </row>
    <row r="60" spans="1:29" ht="14.25" customHeight="1">
      <c r="A60" s="10">
        <f>A59+1</f>
        <v>32</v>
      </c>
      <c r="B60" s="13" t="s">
        <v>106</v>
      </c>
      <c r="C60" s="97">
        <f>D60+K60+M60+O60+Q60+S60+U60+V60+W60+X60</f>
        <v>2613875</v>
      </c>
      <c r="D60" s="86">
        <f>E60+F60+G60+H60+I60</f>
        <v>0</v>
      </c>
      <c r="E60" s="97"/>
      <c r="F60" s="97"/>
      <c r="G60" s="97"/>
      <c r="H60" s="97"/>
      <c r="I60" s="97"/>
      <c r="J60" s="97"/>
      <c r="K60" s="97"/>
      <c r="L60" s="97">
        <v>750</v>
      </c>
      <c r="M60" s="97">
        <v>2613875</v>
      </c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14"/>
      <c r="Z60" s="12"/>
      <c r="AB60" s="12"/>
      <c r="AC60" s="12"/>
    </row>
    <row r="61" spans="1:29" ht="14.25" customHeight="1">
      <c r="A61" s="103" t="s">
        <v>597</v>
      </c>
      <c r="B61" s="104"/>
      <c r="C61" s="97">
        <f>SUM(C59:C60)</f>
        <v>4050663</v>
      </c>
      <c r="D61" s="97">
        <f aca="true" t="shared" si="14" ref="D61:X61">SUM(D59:D60)</f>
        <v>0</v>
      </c>
      <c r="E61" s="97">
        <f t="shared" si="14"/>
        <v>0</v>
      </c>
      <c r="F61" s="97">
        <f t="shared" si="14"/>
        <v>0</v>
      </c>
      <c r="G61" s="97">
        <f t="shared" si="14"/>
        <v>0</v>
      </c>
      <c r="H61" s="97">
        <f t="shared" si="14"/>
        <v>0</v>
      </c>
      <c r="I61" s="97">
        <f t="shared" si="14"/>
        <v>0</v>
      </c>
      <c r="J61" s="97">
        <f t="shared" si="14"/>
        <v>0</v>
      </c>
      <c r="K61" s="97">
        <f t="shared" si="14"/>
        <v>0</v>
      </c>
      <c r="L61" s="97">
        <f t="shared" si="14"/>
        <v>1550</v>
      </c>
      <c r="M61" s="97">
        <f t="shared" si="14"/>
        <v>4050663</v>
      </c>
      <c r="N61" s="97">
        <f t="shared" si="14"/>
        <v>0</v>
      </c>
      <c r="O61" s="97">
        <f t="shared" si="14"/>
        <v>0</v>
      </c>
      <c r="P61" s="97">
        <f t="shared" si="14"/>
        <v>0</v>
      </c>
      <c r="Q61" s="97">
        <f t="shared" si="14"/>
        <v>0</v>
      </c>
      <c r="R61" s="97">
        <f t="shared" si="14"/>
        <v>0</v>
      </c>
      <c r="S61" s="97">
        <f t="shared" si="14"/>
        <v>0</v>
      </c>
      <c r="T61" s="97">
        <f t="shared" si="14"/>
        <v>0</v>
      </c>
      <c r="U61" s="97">
        <f t="shared" si="14"/>
        <v>0</v>
      </c>
      <c r="V61" s="97">
        <f t="shared" si="14"/>
        <v>0</v>
      </c>
      <c r="W61" s="97">
        <f t="shared" si="14"/>
        <v>0</v>
      </c>
      <c r="X61" s="97">
        <f t="shared" si="14"/>
        <v>0</v>
      </c>
      <c r="Y61" s="14"/>
      <c r="Z61" s="12"/>
      <c r="AA61" s="12"/>
      <c r="AB61" s="12"/>
      <c r="AC61" s="12"/>
    </row>
    <row r="62" spans="1:29" ht="14.25" customHeight="1">
      <c r="A62" s="124" t="s">
        <v>677</v>
      </c>
      <c r="B62" s="125"/>
      <c r="C62" s="126"/>
      <c r="D62" s="141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3"/>
      <c r="Y62" s="14"/>
      <c r="Z62" s="12"/>
      <c r="AB62" s="12"/>
      <c r="AC62" s="12"/>
    </row>
    <row r="63" spans="1:29" ht="14.25" customHeight="1">
      <c r="A63" s="10">
        <f>A60+1</f>
        <v>33</v>
      </c>
      <c r="B63" s="49" t="s">
        <v>108</v>
      </c>
      <c r="C63" s="97">
        <f>D63+K63+M63+O63+Q63+S63+U63+V63+W63+X63</f>
        <v>1135949</v>
      </c>
      <c r="D63" s="86">
        <f>E63+F63+G63+H63+I63</f>
        <v>0</v>
      </c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>
        <f>223711+523506+388732</f>
        <v>1135949</v>
      </c>
      <c r="X63" s="97"/>
      <c r="Y63" s="14"/>
      <c r="Z63" s="12"/>
      <c r="AB63" s="12"/>
      <c r="AC63" s="12"/>
    </row>
    <row r="64" spans="1:29" ht="14.25" customHeight="1">
      <c r="A64" s="103" t="s">
        <v>597</v>
      </c>
      <c r="B64" s="104"/>
      <c r="C64" s="97">
        <f>SUM(C63)</f>
        <v>1135949</v>
      </c>
      <c r="D64" s="97">
        <f aca="true" t="shared" si="15" ref="D64:X64">SUM(D63)</f>
        <v>0</v>
      </c>
      <c r="E64" s="97">
        <f t="shared" si="15"/>
        <v>0</v>
      </c>
      <c r="F64" s="97">
        <f t="shared" si="15"/>
        <v>0</v>
      </c>
      <c r="G64" s="97">
        <f t="shared" si="15"/>
        <v>0</v>
      </c>
      <c r="H64" s="97">
        <f t="shared" si="15"/>
        <v>0</v>
      </c>
      <c r="I64" s="97">
        <f t="shared" si="15"/>
        <v>0</v>
      </c>
      <c r="J64" s="97">
        <f t="shared" si="15"/>
        <v>0</v>
      </c>
      <c r="K64" s="97">
        <f t="shared" si="15"/>
        <v>0</v>
      </c>
      <c r="L64" s="97">
        <f t="shared" si="15"/>
        <v>0</v>
      </c>
      <c r="M64" s="97">
        <f t="shared" si="15"/>
        <v>0</v>
      </c>
      <c r="N64" s="97">
        <f t="shared" si="15"/>
        <v>0</v>
      </c>
      <c r="O64" s="97">
        <f t="shared" si="15"/>
        <v>0</v>
      </c>
      <c r="P64" s="97">
        <f t="shared" si="15"/>
        <v>0</v>
      </c>
      <c r="Q64" s="97">
        <f t="shared" si="15"/>
        <v>0</v>
      </c>
      <c r="R64" s="97">
        <f t="shared" si="15"/>
        <v>0</v>
      </c>
      <c r="S64" s="97">
        <f t="shared" si="15"/>
        <v>0</v>
      </c>
      <c r="T64" s="97">
        <f t="shared" si="15"/>
        <v>0</v>
      </c>
      <c r="U64" s="97">
        <f t="shared" si="15"/>
        <v>0</v>
      </c>
      <c r="V64" s="97">
        <f t="shared" si="15"/>
        <v>0</v>
      </c>
      <c r="W64" s="97">
        <f t="shared" si="15"/>
        <v>1135949</v>
      </c>
      <c r="X64" s="97">
        <f t="shared" si="15"/>
        <v>0</v>
      </c>
      <c r="Y64" s="14"/>
      <c r="Z64" s="12"/>
      <c r="AA64" s="12"/>
      <c r="AB64" s="12"/>
      <c r="AC64" s="12"/>
    </row>
    <row r="65" spans="1:29" ht="14.25" customHeight="1">
      <c r="A65" s="124" t="s">
        <v>604</v>
      </c>
      <c r="B65" s="125"/>
      <c r="C65" s="126"/>
      <c r="D65" s="141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3"/>
      <c r="Y65" s="14"/>
      <c r="Z65" s="12"/>
      <c r="AB65" s="12"/>
      <c r="AC65" s="12"/>
    </row>
    <row r="66" spans="1:29" ht="14.25" customHeight="1">
      <c r="A66" s="96">
        <f>A63+1</f>
        <v>34</v>
      </c>
      <c r="B66" s="13" t="s">
        <v>109</v>
      </c>
      <c r="C66" s="97">
        <f>D66+K66+M66+O66+Q66+S66+U66+V66+W66+X66</f>
        <v>1409801</v>
      </c>
      <c r="D66" s="86">
        <f>E66+F66+G66+H66+I66</f>
        <v>0</v>
      </c>
      <c r="E66" s="86"/>
      <c r="F66" s="86"/>
      <c r="G66" s="86"/>
      <c r="H66" s="86"/>
      <c r="I66" s="86"/>
      <c r="J66" s="86"/>
      <c r="K66" s="97"/>
      <c r="L66" s="97">
        <v>480</v>
      </c>
      <c r="M66" s="86">
        <v>1409801</v>
      </c>
      <c r="N66" s="86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14"/>
      <c r="Z66" s="12"/>
      <c r="AB66" s="12"/>
      <c r="AC66" s="12"/>
    </row>
    <row r="67" spans="1:29" ht="14.25" customHeight="1">
      <c r="A67" s="103" t="s">
        <v>597</v>
      </c>
      <c r="B67" s="104"/>
      <c r="C67" s="97">
        <f>SUM(C66)</f>
        <v>1409801</v>
      </c>
      <c r="D67" s="97">
        <f aca="true" t="shared" si="16" ref="D67:X67">SUM(D66)</f>
        <v>0</v>
      </c>
      <c r="E67" s="97">
        <f t="shared" si="16"/>
        <v>0</v>
      </c>
      <c r="F67" s="97">
        <f t="shared" si="16"/>
        <v>0</v>
      </c>
      <c r="G67" s="97">
        <f t="shared" si="16"/>
        <v>0</v>
      </c>
      <c r="H67" s="97">
        <f t="shared" si="16"/>
        <v>0</v>
      </c>
      <c r="I67" s="97">
        <f t="shared" si="16"/>
        <v>0</v>
      </c>
      <c r="J67" s="97">
        <f t="shared" si="16"/>
        <v>0</v>
      </c>
      <c r="K67" s="97">
        <f t="shared" si="16"/>
        <v>0</v>
      </c>
      <c r="L67" s="97">
        <f t="shared" si="16"/>
        <v>480</v>
      </c>
      <c r="M67" s="97">
        <f t="shared" si="16"/>
        <v>1409801</v>
      </c>
      <c r="N67" s="97">
        <f t="shared" si="16"/>
        <v>0</v>
      </c>
      <c r="O67" s="97">
        <f t="shared" si="16"/>
        <v>0</v>
      </c>
      <c r="P67" s="97">
        <f t="shared" si="16"/>
        <v>0</v>
      </c>
      <c r="Q67" s="97">
        <f t="shared" si="16"/>
        <v>0</v>
      </c>
      <c r="R67" s="97">
        <f t="shared" si="16"/>
        <v>0</v>
      </c>
      <c r="S67" s="97">
        <f t="shared" si="16"/>
        <v>0</v>
      </c>
      <c r="T67" s="97">
        <f t="shared" si="16"/>
        <v>0</v>
      </c>
      <c r="U67" s="97">
        <f t="shared" si="16"/>
        <v>0</v>
      </c>
      <c r="V67" s="97">
        <f t="shared" si="16"/>
        <v>0</v>
      </c>
      <c r="W67" s="97">
        <f t="shared" si="16"/>
        <v>0</v>
      </c>
      <c r="X67" s="97">
        <f t="shared" si="16"/>
        <v>0</v>
      </c>
      <c r="Y67" s="14"/>
      <c r="Z67" s="12"/>
      <c r="AA67" s="12"/>
      <c r="AB67" s="12"/>
      <c r="AC67" s="12"/>
    </row>
    <row r="68" spans="1:29" ht="14.25" customHeight="1">
      <c r="A68" s="105" t="s">
        <v>678</v>
      </c>
      <c r="B68" s="110"/>
      <c r="C68" s="106"/>
      <c r="D68" s="111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3"/>
      <c r="Y68" s="14"/>
      <c r="Z68" s="12"/>
      <c r="AB68" s="12"/>
      <c r="AC68" s="12"/>
    </row>
    <row r="69" spans="1:29" ht="14.25" customHeight="1">
      <c r="A69" s="96">
        <f>A66+1</f>
        <v>35</v>
      </c>
      <c r="B69" s="13" t="s">
        <v>110</v>
      </c>
      <c r="C69" s="97">
        <f>D69+K69+M69+O69+Q69+S69+U69+V69+W69+X69</f>
        <v>2329370</v>
      </c>
      <c r="D69" s="86">
        <f>E69+F69+G69+H69+I69</f>
        <v>0</v>
      </c>
      <c r="E69" s="97"/>
      <c r="F69" s="97"/>
      <c r="G69" s="97"/>
      <c r="H69" s="97"/>
      <c r="I69" s="97"/>
      <c r="J69" s="97"/>
      <c r="K69" s="97"/>
      <c r="L69" s="97">
        <v>1200</v>
      </c>
      <c r="M69" s="97">
        <v>2329370</v>
      </c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14"/>
      <c r="Z69" s="12"/>
      <c r="AB69" s="12"/>
      <c r="AC69" s="12"/>
    </row>
    <row r="70" spans="1:29" ht="14.25" customHeight="1">
      <c r="A70" s="103" t="s">
        <v>597</v>
      </c>
      <c r="B70" s="104"/>
      <c r="C70" s="86">
        <f>SUM(C69:C69)</f>
        <v>2329370</v>
      </c>
      <c r="D70" s="86">
        <f aca="true" t="shared" si="17" ref="D70:X70">SUM(D69:D69)</f>
        <v>0</v>
      </c>
      <c r="E70" s="86">
        <f t="shared" si="17"/>
        <v>0</v>
      </c>
      <c r="F70" s="86">
        <f t="shared" si="17"/>
        <v>0</v>
      </c>
      <c r="G70" s="86">
        <f t="shared" si="17"/>
        <v>0</v>
      </c>
      <c r="H70" s="86">
        <f t="shared" si="17"/>
        <v>0</v>
      </c>
      <c r="I70" s="86">
        <f t="shared" si="17"/>
        <v>0</v>
      </c>
      <c r="J70" s="86">
        <f t="shared" si="17"/>
        <v>0</v>
      </c>
      <c r="K70" s="86">
        <f t="shared" si="17"/>
        <v>0</v>
      </c>
      <c r="L70" s="86">
        <f t="shared" si="17"/>
        <v>1200</v>
      </c>
      <c r="M70" s="86">
        <f t="shared" si="17"/>
        <v>2329370</v>
      </c>
      <c r="N70" s="86">
        <f t="shared" si="17"/>
        <v>0</v>
      </c>
      <c r="O70" s="86">
        <f t="shared" si="17"/>
        <v>0</v>
      </c>
      <c r="P70" s="86">
        <f t="shared" si="17"/>
        <v>0</v>
      </c>
      <c r="Q70" s="86">
        <f t="shared" si="17"/>
        <v>0</v>
      </c>
      <c r="R70" s="86">
        <f t="shared" si="17"/>
        <v>0</v>
      </c>
      <c r="S70" s="86">
        <f t="shared" si="17"/>
        <v>0</v>
      </c>
      <c r="T70" s="86">
        <f t="shared" si="17"/>
        <v>0</v>
      </c>
      <c r="U70" s="86">
        <f t="shared" si="17"/>
        <v>0</v>
      </c>
      <c r="V70" s="86">
        <f t="shared" si="17"/>
        <v>0</v>
      </c>
      <c r="W70" s="86">
        <f t="shared" si="17"/>
        <v>0</v>
      </c>
      <c r="X70" s="86">
        <f t="shared" si="17"/>
        <v>0</v>
      </c>
      <c r="Y70" s="14"/>
      <c r="Z70" s="12"/>
      <c r="AA70" s="12"/>
      <c r="AB70" s="12"/>
      <c r="AC70" s="12"/>
    </row>
    <row r="71" spans="1:29" ht="12.75" customHeight="1">
      <c r="A71" s="105" t="s">
        <v>605</v>
      </c>
      <c r="B71" s="106"/>
      <c r="C71" s="83">
        <f>C50+C54+C57+C67+C61+C64+C70</f>
        <v>24405908</v>
      </c>
      <c r="D71" s="83">
        <f aca="true" t="shared" si="18" ref="D71:X71">D50+D54+D57+D67+D61+D64+D70</f>
        <v>0</v>
      </c>
      <c r="E71" s="83">
        <f t="shared" si="18"/>
        <v>0</v>
      </c>
      <c r="F71" s="83">
        <f t="shared" si="18"/>
        <v>0</v>
      </c>
      <c r="G71" s="83">
        <f t="shared" si="18"/>
        <v>0</v>
      </c>
      <c r="H71" s="83">
        <f t="shared" si="18"/>
        <v>0</v>
      </c>
      <c r="I71" s="83">
        <f t="shared" si="18"/>
        <v>0</v>
      </c>
      <c r="J71" s="83">
        <f t="shared" si="18"/>
        <v>0</v>
      </c>
      <c r="K71" s="83">
        <f t="shared" si="18"/>
        <v>0</v>
      </c>
      <c r="L71" s="83">
        <f t="shared" si="18"/>
        <v>7925</v>
      </c>
      <c r="M71" s="83">
        <f t="shared" si="18"/>
        <v>16782898</v>
      </c>
      <c r="N71" s="83">
        <f t="shared" si="18"/>
        <v>0</v>
      </c>
      <c r="O71" s="83">
        <f t="shared" si="18"/>
        <v>0</v>
      </c>
      <c r="P71" s="83">
        <f t="shared" si="18"/>
        <v>4384</v>
      </c>
      <c r="Q71" s="83">
        <f t="shared" si="18"/>
        <v>5786081</v>
      </c>
      <c r="R71" s="83">
        <f t="shared" si="18"/>
        <v>0</v>
      </c>
      <c r="S71" s="83">
        <f t="shared" si="18"/>
        <v>0</v>
      </c>
      <c r="T71" s="83">
        <f t="shared" si="18"/>
        <v>0</v>
      </c>
      <c r="U71" s="83">
        <f t="shared" si="18"/>
        <v>0</v>
      </c>
      <c r="V71" s="83">
        <f t="shared" si="18"/>
        <v>0</v>
      </c>
      <c r="W71" s="83">
        <f t="shared" si="18"/>
        <v>1836929</v>
      </c>
      <c r="X71" s="83">
        <f t="shared" si="18"/>
        <v>0</v>
      </c>
      <c r="Y71" s="14"/>
      <c r="Z71" s="12"/>
      <c r="AA71" s="12"/>
      <c r="AB71" s="12"/>
      <c r="AC71" s="12"/>
    </row>
    <row r="72" spans="1:29" ht="12.75" customHeight="1">
      <c r="A72" s="111" t="s">
        <v>606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3"/>
      <c r="Y72" s="14"/>
      <c r="Z72" s="12"/>
      <c r="AB72" s="12"/>
      <c r="AC72" s="12"/>
    </row>
    <row r="73" spans="1:29" ht="12.75" customHeight="1">
      <c r="A73" s="114" t="s">
        <v>607</v>
      </c>
      <c r="B73" s="115"/>
      <c r="C73" s="116"/>
      <c r="D73" s="107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9"/>
      <c r="Y73" s="14"/>
      <c r="Z73" s="12"/>
      <c r="AB73" s="12"/>
      <c r="AC73" s="12"/>
    </row>
    <row r="74" spans="1:29" ht="12.75">
      <c r="A74" s="10">
        <f>A69+1</f>
        <v>36</v>
      </c>
      <c r="B74" s="13" t="s">
        <v>113</v>
      </c>
      <c r="C74" s="97">
        <f aca="true" t="shared" si="19" ref="C74:C81">D74+K74+M74+O74+Q74+S74+U74+V74+W74+X74</f>
        <v>3840364</v>
      </c>
      <c r="D74" s="86">
        <f aca="true" t="shared" si="20" ref="D74:D81">E74+F74+G74+H74+I74</f>
        <v>0</v>
      </c>
      <c r="E74" s="86"/>
      <c r="F74" s="97"/>
      <c r="G74" s="97"/>
      <c r="H74" s="97"/>
      <c r="I74" s="97"/>
      <c r="J74" s="81"/>
      <c r="K74" s="81"/>
      <c r="L74" s="17">
        <v>1266</v>
      </c>
      <c r="M74" s="97">
        <f>3840364</f>
        <v>3840364</v>
      </c>
      <c r="N74" s="97"/>
      <c r="O74" s="97"/>
      <c r="P74" s="17"/>
      <c r="Q74" s="97"/>
      <c r="R74" s="81"/>
      <c r="S74" s="81"/>
      <c r="T74" s="97"/>
      <c r="U74" s="97"/>
      <c r="V74" s="81"/>
      <c r="W74" s="97"/>
      <c r="X74" s="86"/>
      <c r="Y74" s="14"/>
      <c r="Z74" s="12"/>
      <c r="AA74" s="12"/>
      <c r="AB74" s="12"/>
      <c r="AC74" s="12"/>
    </row>
    <row r="75" spans="1:29" ht="12.75">
      <c r="A75" s="10">
        <f aca="true" t="shared" si="21" ref="A75:A81">A74+1</f>
        <v>37</v>
      </c>
      <c r="B75" s="13" t="s">
        <v>777</v>
      </c>
      <c r="C75" s="97">
        <f>D75+K75+M75+O75+Q75+S75+U75+V75+W75+X75</f>
        <v>4398925</v>
      </c>
      <c r="D75" s="86">
        <f>E75+F75+G75+H75+I75</f>
        <v>4398925</v>
      </c>
      <c r="E75" s="86"/>
      <c r="F75" s="97">
        <v>4398925</v>
      </c>
      <c r="G75" s="97"/>
      <c r="H75" s="97"/>
      <c r="I75" s="97"/>
      <c r="J75" s="81"/>
      <c r="K75" s="81"/>
      <c r="L75" s="17"/>
      <c r="M75" s="97"/>
      <c r="N75" s="97"/>
      <c r="O75" s="97"/>
      <c r="P75" s="17"/>
      <c r="Q75" s="97"/>
      <c r="R75" s="81"/>
      <c r="S75" s="81"/>
      <c r="T75" s="97"/>
      <c r="U75" s="97"/>
      <c r="V75" s="81"/>
      <c r="W75" s="97"/>
      <c r="X75" s="86"/>
      <c r="Y75" s="14"/>
      <c r="Z75" s="12"/>
      <c r="AA75" s="12"/>
      <c r="AB75" s="12"/>
      <c r="AC75" s="12"/>
    </row>
    <row r="76" spans="1:29" ht="12.75">
      <c r="A76" s="10">
        <f t="shared" si="21"/>
        <v>38</v>
      </c>
      <c r="B76" s="13" t="s">
        <v>114</v>
      </c>
      <c r="C76" s="97">
        <f>D76+K76+M76+O76+Q76+S76+U76+V76+W76+X76</f>
        <v>3361373</v>
      </c>
      <c r="D76" s="86">
        <f>E76+F76+G76+H76+I76</f>
        <v>0</v>
      </c>
      <c r="E76" s="86"/>
      <c r="F76" s="97"/>
      <c r="G76" s="97"/>
      <c r="H76" s="97"/>
      <c r="I76" s="97"/>
      <c r="J76" s="81"/>
      <c r="K76" s="81"/>
      <c r="L76" s="17">
        <v>1069</v>
      </c>
      <c r="M76" s="97">
        <f>3361373</f>
        <v>3361373</v>
      </c>
      <c r="N76" s="97"/>
      <c r="O76" s="97"/>
      <c r="P76" s="17"/>
      <c r="Q76" s="97"/>
      <c r="R76" s="81"/>
      <c r="S76" s="81"/>
      <c r="T76" s="97"/>
      <c r="U76" s="97"/>
      <c r="V76" s="81"/>
      <c r="W76" s="97"/>
      <c r="X76" s="86"/>
      <c r="Y76" s="14"/>
      <c r="Z76" s="12"/>
      <c r="AA76" s="12"/>
      <c r="AB76" s="12"/>
      <c r="AC76" s="12"/>
    </row>
    <row r="77" spans="1:29" ht="12.75">
      <c r="A77" s="10">
        <f t="shared" si="21"/>
        <v>39</v>
      </c>
      <c r="B77" s="13" t="s">
        <v>775</v>
      </c>
      <c r="C77" s="97">
        <f t="shared" si="19"/>
        <v>506067</v>
      </c>
      <c r="D77" s="86">
        <f t="shared" si="20"/>
        <v>506067</v>
      </c>
      <c r="E77" s="86"/>
      <c r="F77" s="97">
        <v>506067</v>
      </c>
      <c r="G77" s="97"/>
      <c r="H77" s="97"/>
      <c r="I77" s="97"/>
      <c r="J77" s="81"/>
      <c r="K77" s="81"/>
      <c r="L77" s="17"/>
      <c r="M77" s="97"/>
      <c r="N77" s="97"/>
      <c r="O77" s="97"/>
      <c r="P77" s="17"/>
      <c r="Q77" s="97"/>
      <c r="R77" s="81"/>
      <c r="S77" s="81"/>
      <c r="T77" s="97"/>
      <c r="U77" s="97"/>
      <c r="V77" s="81"/>
      <c r="W77" s="97"/>
      <c r="X77" s="86"/>
      <c r="Y77" s="14"/>
      <c r="Z77" s="12"/>
      <c r="AA77" s="12"/>
      <c r="AB77" s="12"/>
      <c r="AC77" s="12"/>
    </row>
    <row r="78" spans="1:29" ht="12.75">
      <c r="A78" s="10">
        <f t="shared" si="21"/>
        <v>40</v>
      </c>
      <c r="B78" s="13" t="s">
        <v>776</v>
      </c>
      <c r="C78" s="97">
        <f t="shared" si="19"/>
        <v>3227460</v>
      </c>
      <c r="D78" s="86">
        <f t="shared" si="20"/>
        <v>3227460</v>
      </c>
      <c r="E78" s="86"/>
      <c r="F78" s="97">
        <v>3227460</v>
      </c>
      <c r="G78" s="97"/>
      <c r="H78" s="97"/>
      <c r="I78" s="97"/>
      <c r="J78" s="81"/>
      <c r="K78" s="81"/>
      <c r="L78" s="17"/>
      <c r="M78" s="97"/>
      <c r="N78" s="97"/>
      <c r="O78" s="97"/>
      <c r="P78" s="17"/>
      <c r="Q78" s="97"/>
      <c r="R78" s="81"/>
      <c r="S78" s="81"/>
      <c r="T78" s="97"/>
      <c r="U78" s="97"/>
      <c r="V78" s="81"/>
      <c r="W78" s="97"/>
      <c r="X78" s="86"/>
      <c r="Y78" s="14"/>
      <c r="Z78" s="12"/>
      <c r="AA78" s="12"/>
      <c r="AB78" s="12"/>
      <c r="AC78" s="12"/>
    </row>
    <row r="79" spans="1:29" ht="12.75">
      <c r="A79" s="10">
        <f t="shared" si="21"/>
        <v>41</v>
      </c>
      <c r="B79" s="13" t="s">
        <v>112</v>
      </c>
      <c r="C79" s="97">
        <f t="shared" si="19"/>
        <v>3610303</v>
      </c>
      <c r="D79" s="86">
        <f t="shared" si="20"/>
        <v>0</v>
      </c>
      <c r="E79" s="86"/>
      <c r="F79" s="97"/>
      <c r="G79" s="97"/>
      <c r="H79" s="97"/>
      <c r="I79" s="97"/>
      <c r="J79" s="81"/>
      <c r="K79" s="81"/>
      <c r="L79" s="17"/>
      <c r="M79" s="97"/>
      <c r="N79" s="97"/>
      <c r="O79" s="97"/>
      <c r="P79" s="17">
        <v>2150</v>
      </c>
      <c r="Q79" s="97">
        <f>3610303</f>
        <v>3610303</v>
      </c>
      <c r="R79" s="81"/>
      <c r="S79" s="81"/>
      <c r="T79" s="97"/>
      <c r="U79" s="97"/>
      <c r="V79" s="81"/>
      <c r="W79" s="97"/>
      <c r="X79" s="86"/>
      <c r="Y79" s="14"/>
      <c r="Z79" s="12"/>
      <c r="AA79" s="12"/>
      <c r="AB79" s="12"/>
      <c r="AC79" s="12"/>
    </row>
    <row r="80" spans="1:29" ht="12.75">
      <c r="A80" s="10">
        <f t="shared" si="21"/>
        <v>42</v>
      </c>
      <c r="B80" s="13" t="s">
        <v>115</v>
      </c>
      <c r="C80" s="97">
        <f t="shared" si="19"/>
        <v>335766</v>
      </c>
      <c r="D80" s="86">
        <f t="shared" si="20"/>
        <v>0</v>
      </c>
      <c r="E80" s="86"/>
      <c r="F80" s="97"/>
      <c r="G80" s="97"/>
      <c r="H80" s="97"/>
      <c r="I80" s="97"/>
      <c r="J80" s="81"/>
      <c r="K80" s="81"/>
      <c r="L80" s="17"/>
      <c r="M80" s="97"/>
      <c r="N80" s="97"/>
      <c r="O80" s="97"/>
      <c r="P80" s="17"/>
      <c r="Q80" s="97"/>
      <c r="R80" s="81"/>
      <c r="S80" s="81"/>
      <c r="T80" s="97"/>
      <c r="U80" s="97"/>
      <c r="V80" s="81"/>
      <c r="W80" s="97">
        <v>335766</v>
      </c>
      <c r="X80" s="86"/>
      <c r="Y80" s="14"/>
      <c r="Z80" s="12"/>
      <c r="AA80" s="12"/>
      <c r="AB80" s="12"/>
      <c r="AC80" s="12"/>
    </row>
    <row r="81" spans="1:29" ht="12.75">
      <c r="A81" s="10">
        <f t="shared" si="21"/>
        <v>43</v>
      </c>
      <c r="B81" s="13" t="s">
        <v>111</v>
      </c>
      <c r="C81" s="97">
        <f t="shared" si="19"/>
        <v>4230637</v>
      </c>
      <c r="D81" s="86">
        <f t="shared" si="20"/>
        <v>0</v>
      </c>
      <c r="E81" s="86"/>
      <c r="F81" s="97"/>
      <c r="G81" s="97"/>
      <c r="H81" s="97"/>
      <c r="I81" s="97"/>
      <c r="J81" s="81"/>
      <c r="K81" s="81"/>
      <c r="L81" s="17">
        <v>1445</v>
      </c>
      <c r="M81" s="97">
        <f>4230637</f>
        <v>4230637</v>
      </c>
      <c r="N81" s="97"/>
      <c r="O81" s="97"/>
      <c r="P81" s="17"/>
      <c r="Q81" s="97"/>
      <c r="R81" s="81"/>
      <c r="S81" s="81"/>
      <c r="T81" s="97"/>
      <c r="U81" s="97"/>
      <c r="V81" s="81"/>
      <c r="W81" s="97"/>
      <c r="X81" s="86"/>
      <c r="Y81" s="14"/>
      <c r="Z81" s="12"/>
      <c r="AA81" s="12"/>
      <c r="AB81" s="12"/>
      <c r="AC81" s="12"/>
    </row>
    <row r="82" spans="1:29" ht="12.75" customHeight="1">
      <c r="A82" s="103" t="s">
        <v>597</v>
      </c>
      <c r="B82" s="104"/>
      <c r="C82" s="97">
        <f>SUM(C74:C81)</f>
        <v>23510895</v>
      </c>
      <c r="D82" s="97">
        <f aca="true" t="shared" si="22" ref="D82:X82">SUM(D74:D81)</f>
        <v>8132452</v>
      </c>
      <c r="E82" s="97">
        <f t="shared" si="22"/>
        <v>0</v>
      </c>
      <c r="F82" s="97">
        <f t="shared" si="22"/>
        <v>8132452</v>
      </c>
      <c r="G82" s="97">
        <f t="shared" si="22"/>
        <v>0</v>
      </c>
      <c r="H82" s="97">
        <f t="shared" si="22"/>
        <v>0</v>
      </c>
      <c r="I82" s="97">
        <f t="shared" si="22"/>
        <v>0</v>
      </c>
      <c r="J82" s="97">
        <f t="shared" si="22"/>
        <v>0</v>
      </c>
      <c r="K82" s="97">
        <f t="shared" si="22"/>
        <v>0</v>
      </c>
      <c r="L82" s="97">
        <f t="shared" si="22"/>
        <v>3780</v>
      </c>
      <c r="M82" s="97">
        <f t="shared" si="22"/>
        <v>11432374</v>
      </c>
      <c r="N82" s="97">
        <f t="shared" si="22"/>
        <v>0</v>
      </c>
      <c r="O82" s="97">
        <f t="shared" si="22"/>
        <v>0</v>
      </c>
      <c r="P82" s="97">
        <f t="shared" si="22"/>
        <v>2150</v>
      </c>
      <c r="Q82" s="97">
        <f t="shared" si="22"/>
        <v>3610303</v>
      </c>
      <c r="R82" s="97">
        <f t="shared" si="22"/>
        <v>0</v>
      </c>
      <c r="S82" s="97">
        <f t="shared" si="22"/>
        <v>0</v>
      </c>
      <c r="T82" s="97">
        <f t="shared" si="22"/>
        <v>0</v>
      </c>
      <c r="U82" s="97">
        <f t="shared" si="22"/>
        <v>0</v>
      </c>
      <c r="V82" s="97">
        <f t="shared" si="22"/>
        <v>0</v>
      </c>
      <c r="W82" s="97">
        <f t="shared" si="22"/>
        <v>335766</v>
      </c>
      <c r="X82" s="97">
        <f t="shared" si="22"/>
        <v>0</v>
      </c>
      <c r="Y82" s="14"/>
      <c r="Z82" s="12"/>
      <c r="AA82" s="12"/>
      <c r="AB82" s="12"/>
      <c r="AC82" s="12"/>
    </row>
    <row r="83" spans="1:29" ht="12.75" customHeight="1">
      <c r="A83" s="105" t="s">
        <v>608</v>
      </c>
      <c r="B83" s="110"/>
      <c r="C83" s="106"/>
      <c r="D83" s="107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9"/>
      <c r="Y83" s="14"/>
      <c r="Z83" s="12"/>
      <c r="AB83" s="12"/>
      <c r="AC83" s="12"/>
    </row>
    <row r="84" spans="1:29" ht="21.75" customHeight="1">
      <c r="A84" s="96">
        <f>A81+1</f>
        <v>44</v>
      </c>
      <c r="B84" s="82" t="s">
        <v>197</v>
      </c>
      <c r="C84" s="97">
        <f>D84+K84+M84+O84+Q84+S84+U84+V84+W84+X84</f>
        <v>116310</v>
      </c>
      <c r="D84" s="86">
        <f>E84+F84+G84+H84+I84</f>
        <v>0</v>
      </c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6"/>
      <c r="R84" s="86"/>
      <c r="S84" s="86"/>
      <c r="T84" s="86"/>
      <c r="U84" s="86"/>
      <c r="V84" s="86"/>
      <c r="W84" s="97">
        <f>77051+39259</f>
        <v>116310</v>
      </c>
      <c r="X84" s="86"/>
      <c r="Y84" s="14"/>
      <c r="Z84" s="12"/>
      <c r="AB84" s="12"/>
      <c r="AC84" s="12"/>
    </row>
    <row r="85" spans="1:29" ht="25.5" customHeight="1">
      <c r="A85" s="96">
        <f>A84+1</f>
        <v>45</v>
      </c>
      <c r="B85" s="49" t="s">
        <v>198</v>
      </c>
      <c r="C85" s="97">
        <f>D85+K85+M85+O85+Q85+S85+U85+V85+W85+X85</f>
        <v>2723042</v>
      </c>
      <c r="D85" s="86">
        <f>E85+F85+G85+H85+I85</f>
        <v>0</v>
      </c>
      <c r="E85" s="97"/>
      <c r="F85" s="97"/>
      <c r="G85" s="97"/>
      <c r="H85" s="97"/>
      <c r="I85" s="97"/>
      <c r="J85" s="97"/>
      <c r="K85" s="97"/>
      <c r="L85" s="17">
        <v>556</v>
      </c>
      <c r="M85" s="97">
        <v>1108818</v>
      </c>
      <c r="N85" s="97"/>
      <c r="O85" s="97"/>
      <c r="P85" s="97">
        <v>1032</v>
      </c>
      <c r="Q85" s="97">
        <v>1442833</v>
      </c>
      <c r="R85" s="97"/>
      <c r="S85" s="97"/>
      <c r="T85" s="97"/>
      <c r="U85" s="97"/>
      <c r="V85" s="97"/>
      <c r="W85" s="86">
        <f>114151+57240</f>
        <v>171391</v>
      </c>
      <c r="X85" s="97"/>
      <c r="Y85" s="14"/>
      <c r="Z85" s="12"/>
      <c r="AB85" s="12"/>
      <c r="AC85" s="12"/>
    </row>
    <row r="86" spans="1:29" ht="19.5" customHeight="1">
      <c r="A86" s="103" t="s">
        <v>597</v>
      </c>
      <c r="B86" s="104"/>
      <c r="C86" s="97">
        <f>SUM(C84:C85)</f>
        <v>2839352</v>
      </c>
      <c r="D86" s="97">
        <f aca="true" t="shared" si="23" ref="D86:X86">SUM(D84:D85)</f>
        <v>0</v>
      </c>
      <c r="E86" s="97">
        <f t="shared" si="23"/>
        <v>0</v>
      </c>
      <c r="F86" s="97">
        <f t="shared" si="23"/>
        <v>0</v>
      </c>
      <c r="G86" s="97">
        <f t="shared" si="23"/>
        <v>0</v>
      </c>
      <c r="H86" s="97">
        <f t="shared" si="23"/>
        <v>0</v>
      </c>
      <c r="I86" s="97">
        <f t="shared" si="23"/>
        <v>0</v>
      </c>
      <c r="J86" s="97">
        <f t="shared" si="23"/>
        <v>0</v>
      </c>
      <c r="K86" s="97">
        <f t="shared" si="23"/>
        <v>0</v>
      </c>
      <c r="L86" s="97">
        <f t="shared" si="23"/>
        <v>556</v>
      </c>
      <c r="M86" s="97">
        <f t="shared" si="23"/>
        <v>1108818</v>
      </c>
      <c r="N86" s="97">
        <f t="shared" si="23"/>
        <v>0</v>
      </c>
      <c r="O86" s="97">
        <f t="shared" si="23"/>
        <v>0</v>
      </c>
      <c r="P86" s="97">
        <f t="shared" si="23"/>
        <v>1032</v>
      </c>
      <c r="Q86" s="97">
        <f t="shared" si="23"/>
        <v>1442833</v>
      </c>
      <c r="R86" s="97">
        <f t="shared" si="23"/>
        <v>0</v>
      </c>
      <c r="S86" s="97">
        <f t="shared" si="23"/>
        <v>0</v>
      </c>
      <c r="T86" s="97">
        <f t="shared" si="23"/>
        <v>0</v>
      </c>
      <c r="U86" s="97">
        <f t="shared" si="23"/>
        <v>0</v>
      </c>
      <c r="V86" s="97">
        <f t="shared" si="23"/>
        <v>0</v>
      </c>
      <c r="W86" s="97">
        <f t="shared" si="23"/>
        <v>287701</v>
      </c>
      <c r="X86" s="97">
        <f t="shared" si="23"/>
        <v>0</v>
      </c>
      <c r="Y86" s="14"/>
      <c r="Z86" s="12"/>
      <c r="AB86" s="12"/>
      <c r="AC86" s="12"/>
    </row>
    <row r="87" spans="1:29" ht="12.75" customHeight="1">
      <c r="A87" s="105" t="s">
        <v>609</v>
      </c>
      <c r="B87" s="110"/>
      <c r="C87" s="106"/>
      <c r="D87" s="107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9"/>
      <c r="Y87" s="14"/>
      <c r="Z87" s="12"/>
      <c r="AA87" s="12"/>
      <c r="AB87" s="12"/>
      <c r="AC87" s="12"/>
    </row>
    <row r="88" spans="1:29" ht="12.75">
      <c r="A88" s="96">
        <f>A85+1</f>
        <v>46</v>
      </c>
      <c r="B88" s="13" t="s">
        <v>199</v>
      </c>
      <c r="C88" s="97">
        <f>D88+K88+M88+O88+Q88+S88+U88+V88+W88+X88</f>
        <v>181774</v>
      </c>
      <c r="D88" s="86">
        <f>E88+F88+G88+H88+I88</f>
        <v>0</v>
      </c>
      <c r="E88" s="97"/>
      <c r="F88" s="97"/>
      <c r="G88" s="97"/>
      <c r="H88" s="97"/>
      <c r="I88" s="97"/>
      <c r="J88" s="97"/>
      <c r="K88" s="97"/>
      <c r="L88" s="17"/>
      <c r="M88" s="97"/>
      <c r="N88" s="17"/>
      <c r="O88" s="17"/>
      <c r="P88" s="17"/>
      <c r="Q88" s="97"/>
      <c r="R88" s="97"/>
      <c r="S88" s="97"/>
      <c r="T88" s="97"/>
      <c r="U88" s="97"/>
      <c r="V88" s="97"/>
      <c r="W88" s="97">
        <f>181774</f>
        <v>181774</v>
      </c>
      <c r="X88" s="97"/>
      <c r="Y88" s="14"/>
      <c r="Z88" s="12"/>
      <c r="AA88" s="12"/>
      <c r="AB88" s="12"/>
      <c r="AC88" s="12"/>
    </row>
    <row r="89" spans="1:29" ht="12.75">
      <c r="A89" s="96">
        <f>A88+1</f>
        <v>47</v>
      </c>
      <c r="B89" s="13" t="s">
        <v>200</v>
      </c>
      <c r="C89" s="97">
        <f>D89+K89+M89+O89+Q89+S89+U89+V89+W89+X89</f>
        <v>287505</v>
      </c>
      <c r="D89" s="86">
        <f>E89+F89+G89+H89+I89</f>
        <v>0</v>
      </c>
      <c r="E89" s="97"/>
      <c r="F89" s="97"/>
      <c r="G89" s="97"/>
      <c r="H89" s="97"/>
      <c r="I89" s="97"/>
      <c r="J89" s="97"/>
      <c r="K89" s="97"/>
      <c r="L89" s="17"/>
      <c r="M89" s="97"/>
      <c r="N89" s="17"/>
      <c r="O89" s="17"/>
      <c r="P89" s="17"/>
      <c r="Q89" s="97"/>
      <c r="R89" s="97"/>
      <c r="S89" s="97"/>
      <c r="T89" s="97"/>
      <c r="U89" s="97"/>
      <c r="V89" s="97"/>
      <c r="W89" s="97">
        <f>287505</f>
        <v>287505</v>
      </c>
      <c r="X89" s="97"/>
      <c r="Y89" s="14"/>
      <c r="Z89" s="12"/>
      <c r="AA89" s="12"/>
      <c r="AB89" s="12"/>
      <c r="AC89" s="12"/>
    </row>
    <row r="90" spans="1:29" ht="12.75" customHeight="1">
      <c r="A90" s="96">
        <f>A89+1</f>
        <v>48</v>
      </c>
      <c r="B90" s="89" t="s">
        <v>201</v>
      </c>
      <c r="C90" s="97">
        <f>D90+K90+M90+O90+Q90+S90+U90+V90+W90+X90</f>
        <v>289241</v>
      </c>
      <c r="D90" s="86">
        <f>E90+F90+G90+H90+I90</f>
        <v>0</v>
      </c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6">
        <f>289241</f>
        <v>289241</v>
      </c>
      <c r="X90" s="86"/>
      <c r="Y90" s="14"/>
      <c r="Z90" s="12"/>
      <c r="AA90" s="12"/>
      <c r="AB90" s="12"/>
      <c r="AC90" s="12"/>
    </row>
    <row r="91" spans="1:29" ht="12.75">
      <c r="A91" s="103" t="s">
        <v>597</v>
      </c>
      <c r="B91" s="104"/>
      <c r="C91" s="97">
        <f>SUM(C88:C90)</f>
        <v>758520</v>
      </c>
      <c r="D91" s="97">
        <f aca="true" t="shared" si="24" ref="D91:X91">SUM(D88:D90)</f>
        <v>0</v>
      </c>
      <c r="E91" s="97">
        <f t="shared" si="24"/>
        <v>0</v>
      </c>
      <c r="F91" s="97">
        <f t="shared" si="24"/>
        <v>0</v>
      </c>
      <c r="G91" s="97">
        <f t="shared" si="24"/>
        <v>0</v>
      </c>
      <c r="H91" s="97">
        <f t="shared" si="24"/>
        <v>0</v>
      </c>
      <c r="I91" s="97">
        <f t="shared" si="24"/>
        <v>0</v>
      </c>
      <c r="J91" s="97">
        <f t="shared" si="24"/>
        <v>0</v>
      </c>
      <c r="K91" s="97">
        <f t="shared" si="24"/>
        <v>0</v>
      </c>
      <c r="L91" s="97">
        <f t="shared" si="24"/>
        <v>0</v>
      </c>
      <c r="M91" s="97">
        <f t="shared" si="24"/>
        <v>0</v>
      </c>
      <c r="N91" s="97">
        <f t="shared" si="24"/>
        <v>0</v>
      </c>
      <c r="O91" s="97">
        <f t="shared" si="24"/>
        <v>0</v>
      </c>
      <c r="P91" s="97">
        <f t="shared" si="24"/>
        <v>0</v>
      </c>
      <c r="Q91" s="97">
        <f t="shared" si="24"/>
        <v>0</v>
      </c>
      <c r="R91" s="97">
        <f t="shared" si="24"/>
        <v>0</v>
      </c>
      <c r="S91" s="97">
        <f t="shared" si="24"/>
        <v>0</v>
      </c>
      <c r="T91" s="97">
        <f t="shared" si="24"/>
        <v>0</v>
      </c>
      <c r="U91" s="97">
        <f t="shared" si="24"/>
        <v>0</v>
      </c>
      <c r="V91" s="97">
        <f t="shared" si="24"/>
        <v>0</v>
      </c>
      <c r="W91" s="97">
        <f t="shared" si="24"/>
        <v>758520</v>
      </c>
      <c r="X91" s="97">
        <f t="shared" si="24"/>
        <v>0</v>
      </c>
      <c r="Y91" s="14"/>
      <c r="Z91" s="12"/>
      <c r="AA91" s="12"/>
      <c r="AB91" s="12"/>
      <c r="AC91" s="12"/>
    </row>
    <row r="92" spans="1:29" ht="12" customHeight="1">
      <c r="A92" s="105" t="s">
        <v>610</v>
      </c>
      <c r="B92" s="110"/>
      <c r="C92" s="106"/>
      <c r="D92" s="107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9"/>
      <c r="Y92" s="14"/>
      <c r="Z92" s="12"/>
      <c r="AB92" s="12"/>
      <c r="AC92" s="12"/>
    </row>
    <row r="93" spans="1:29" ht="12.75" customHeight="1">
      <c r="A93" s="96">
        <f>A90+1</f>
        <v>49</v>
      </c>
      <c r="B93" s="13" t="s">
        <v>194</v>
      </c>
      <c r="C93" s="97">
        <f>D93+K93+M93+O93+Q93+S93+U93+V93+W93+X93</f>
        <v>1140000</v>
      </c>
      <c r="D93" s="86">
        <f>E93+F93+G93+H93+I93</f>
        <v>0</v>
      </c>
      <c r="E93" s="97"/>
      <c r="F93" s="97"/>
      <c r="G93" s="97"/>
      <c r="H93" s="97"/>
      <c r="I93" s="97"/>
      <c r="J93" s="97"/>
      <c r="K93" s="97"/>
      <c r="L93" s="97">
        <v>648</v>
      </c>
      <c r="M93" s="97">
        <f>1140000</f>
        <v>1140000</v>
      </c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14"/>
      <c r="Z93" s="12"/>
      <c r="AB93" s="12"/>
      <c r="AC93" s="12"/>
    </row>
    <row r="94" spans="1:29" ht="12.75" customHeight="1">
      <c r="A94" s="96">
        <f>A93+1</f>
        <v>50</v>
      </c>
      <c r="B94" s="13" t="s">
        <v>195</v>
      </c>
      <c r="C94" s="97">
        <f>D94+K94+M94+O94+Q94+S94+U94+V94+W94+X94</f>
        <v>1140000</v>
      </c>
      <c r="D94" s="86">
        <f>E94+F94+G94+H94+I94</f>
        <v>0</v>
      </c>
      <c r="E94" s="97"/>
      <c r="F94" s="97"/>
      <c r="G94" s="97"/>
      <c r="H94" s="97"/>
      <c r="I94" s="97"/>
      <c r="J94" s="97"/>
      <c r="K94" s="97"/>
      <c r="L94" s="97">
        <v>648</v>
      </c>
      <c r="M94" s="97">
        <f>1140000</f>
        <v>1140000</v>
      </c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14"/>
      <c r="Z94" s="12"/>
      <c r="AB94" s="12"/>
      <c r="AC94" s="12"/>
    </row>
    <row r="95" spans="1:29" ht="12.75" customHeight="1">
      <c r="A95" s="96">
        <f>A94+1</f>
        <v>51</v>
      </c>
      <c r="B95" s="13" t="s">
        <v>196</v>
      </c>
      <c r="C95" s="97">
        <f>D95+K95+M95+O95+Q95+S95+U95+V95+W95+X95</f>
        <v>1140000</v>
      </c>
      <c r="D95" s="86">
        <f>E95+F95+G95+H95+I95</f>
        <v>0</v>
      </c>
      <c r="E95" s="97"/>
      <c r="F95" s="97"/>
      <c r="G95" s="97"/>
      <c r="H95" s="97"/>
      <c r="I95" s="97"/>
      <c r="J95" s="97"/>
      <c r="K95" s="97"/>
      <c r="L95" s="97">
        <v>648</v>
      </c>
      <c r="M95" s="97">
        <f>1140000</f>
        <v>1140000</v>
      </c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14"/>
      <c r="Z95" s="12"/>
      <c r="AB95" s="12"/>
      <c r="AC95" s="12"/>
    </row>
    <row r="96" spans="1:29" ht="12.75" customHeight="1">
      <c r="A96" s="103" t="s">
        <v>597</v>
      </c>
      <c r="B96" s="104"/>
      <c r="C96" s="97">
        <f aca="true" t="shared" si="25" ref="C96:X96">SUM(C93:C95)</f>
        <v>3420000</v>
      </c>
      <c r="D96" s="97">
        <f t="shared" si="25"/>
        <v>0</v>
      </c>
      <c r="E96" s="97">
        <f t="shared" si="25"/>
        <v>0</v>
      </c>
      <c r="F96" s="97">
        <f t="shared" si="25"/>
        <v>0</v>
      </c>
      <c r="G96" s="97">
        <f t="shared" si="25"/>
        <v>0</v>
      </c>
      <c r="H96" s="97">
        <f t="shared" si="25"/>
        <v>0</v>
      </c>
      <c r="I96" s="97">
        <f t="shared" si="25"/>
        <v>0</v>
      </c>
      <c r="J96" s="97">
        <f t="shared" si="25"/>
        <v>0</v>
      </c>
      <c r="K96" s="97">
        <f t="shared" si="25"/>
        <v>0</v>
      </c>
      <c r="L96" s="97">
        <f t="shared" si="25"/>
        <v>1944</v>
      </c>
      <c r="M96" s="97">
        <f t="shared" si="25"/>
        <v>3420000</v>
      </c>
      <c r="N96" s="97">
        <f t="shared" si="25"/>
        <v>0</v>
      </c>
      <c r="O96" s="97">
        <f t="shared" si="25"/>
        <v>0</v>
      </c>
      <c r="P96" s="97">
        <f t="shared" si="25"/>
        <v>0</v>
      </c>
      <c r="Q96" s="97">
        <f t="shared" si="25"/>
        <v>0</v>
      </c>
      <c r="R96" s="97">
        <f t="shared" si="25"/>
        <v>0</v>
      </c>
      <c r="S96" s="97">
        <f t="shared" si="25"/>
        <v>0</v>
      </c>
      <c r="T96" s="97">
        <f t="shared" si="25"/>
        <v>0</v>
      </c>
      <c r="U96" s="97">
        <f t="shared" si="25"/>
        <v>0</v>
      </c>
      <c r="V96" s="97">
        <f t="shared" si="25"/>
        <v>0</v>
      </c>
      <c r="W96" s="97">
        <f t="shared" si="25"/>
        <v>0</v>
      </c>
      <c r="X96" s="97">
        <f t="shared" si="25"/>
        <v>0</v>
      </c>
      <c r="Y96" s="14"/>
      <c r="Z96" s="12"/>
      <c r="AA96" s="12"/>
      <c r="AB96" s="12"/>
      <c r="AC96" s="12"/>
    </row>
    <row r="97" spans="1:29" ht="12.75" customHeight="1">
      <c r="A97" s="105" t="s">
        <v>815</v>
      </c>
      <c r="B97" s="110"/>
      <c r="C97" s="106"/>
      <c r="D97" s="107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9"/>
      <c r="Y97" s="14"/>
      <c r="Z97" s="12"/>
      <c r="AB97" s="12"/>
      <c r="AC97" s="12"/>
    </row>
    <row r="98" spans="1:29" ht="12.75" customHeight="1">
      <c r="A98" s="96">
        <f>A95+1</f>
        <v>52</v>
      </c>
      <c r="B98" s="13" t="s">
        <v>184</v>
      </c>
      <c r="C98" s="97">
        <f aca="true" t="shared" si="26" ref="C98:C161">D98+K98+M98+O98+Q98+S98+U98+V98+W98+X98</f>
        <v>209679</v>
      </c>
      <c r="D98" s="86">
        <f aca="true" t="shared" si="27" ref="D98:D161">E98+F98+G98+H98+I98</f>
        <v>0</v>
      </c>
      <c r="E98" s="97"/>
      <c r="F98" s="97"/>
      <c r="G98" s="97"/>
      <c r="H98" s="97"/>
      <c r="I98" s="97"/>
      <c r="J98" s="96"/>
      <c r="K98" s="97"/>
      <c r="L98" s="1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>
        <v>209679</v>
      </c>
      <c r="X98" s="97"/>
      <c r="Y98" s="14"/>
      <c r="Z98" s="12"/>
      <c r="AB98" s="12"/>
      <c r="AC98" s="12"/>
    </row>
    <row r="99" spans="1:29" ht="12.75" customHeight="1">
      <c r="A99" s="96">
        <f aca="true" t="shared" si="28" ref="A99:A163">A98+1</f>
        <v>53</v>
      </c>
      <c r="B99" s="13" t="s">
        <v>116</v>
      </c>
      <c r="C99" s="97">
        <f t="shared" si="26"/>
        <v>78270</v>
      </c>
      <c r="D99" s="86">
        <f t="shared" si="27"/>
        <v>0</v>
      </c>
      <c r="E99" s="97"/>
      <c r="F99" s="97"/>
      <c r="G99" s="97"/>
      <c r="H99" s="97"/>
      <c r="I99" s="97"/>
      <c r="J99" s="96"/>
      <c r="K99" s="97"/>
      <c r="L99" s="1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>
        <v>78270</v>
      </c>
      <c r="X99" s="97"/>
      <c r="Y99" s="14"/>
      <c r="Z99" s="12"/>
      <c r="AB99" s="12"/>
      <c r="AC99" s="12"/>
    </row>
    <row r="100" spans="1:29" ht="12.75" customHeight="1">
      <c r="A100" s="96">
        <f t="shared" si="28"/>
        <v>54</v>
      </c>
      <c r="B100" s="13" t="s">
        <v>117</v>
      </c>
      <c r="C100" s="97">
        <f t="shared" si="26"/>
        <v>79817</v>
      </c>
      <c r="D100" s="86">
        <f t="shared" si="27"/>
        <v>0</v>
      </c>
      <c r="E100" s="97"/>
      <c r="F100" s="97"/>
      <c r="G100" s="97"/>
      <c r="H100" s="97"/>
      <c r="I100" s="97"/>
      <c r="J100" s="96"/>
      <c r="K100" s="97"/>
      <c r="L100" s="1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>
        <v>79817</v>
      </c>
      <c r="X100" s="97"/>
      <c r="Y100" s="14"/>
      <c r="Z100" s="12"/>
      <c r="AB100" s="12"/>
      <c r="AC100" s="12"/>
    </row>
    <row r="101" spans="1:29" ht="12.75" customHeight="1">
      <c r="A101" s="96">
        <f t="shared" si="28"/>
        <v>55</v>
      </c>
      <c r="B101" s="48" t="s">
        <v>812</v>
      </c>
      <c r="C101" s="97">
        <f>D101+K101+M101+O101+Q101+S101+U101+V101+W101+X101</f>
        <v>78299</v>
      </c>
      <c r="D101" s="86">
        <f>E101+F101+G101+H101+I101</f>
        <v>0</v>
      </c>
      <c r="E101" s="97"/>
      <c r="F101" s="97"/>
      <c r="G101" s="97"/>
      <c r="H101" s="97"/>
      <c r="I101" s="97"/>
      <c r="J101" s="96"/>
      <c r="K101" s="97"/>
      <c r="L101" s="1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>
        <v>78299</v>
      </c>
      <c r="X101" s="97"/>
      <c r="Y101" s="14"/>
      <c r="Z101" s="12"/>
      <c r="AB101" s="12"/>
      <c r="AC101" s="12"/>
    </row>
    <row r="102" spans="1:29" ht="12.75" customHeight="1">
      <c r="A102" s="96">
        <f t="shared" si="28"/>
        <v>56</v>
      </c>
      <c r="B102" s="13" t="s">
        <v>118</v>
      </c>
      <c r="C102" s="97">
        <f>D102+K102+M102+O102+Q102+S102+U102+V102+W102+X102</f>
        <v>80051</v>
      </c>
      <c r="D102" s="86">
        <f t="shared" si="27"/>
        <v>0</v>
      </c>
      <c r="E102" s="97"/>
      <c r="F102" s="97"/>
      <c r="G102" s="97"/>
      <c r="H102" s="97"/>
      <c r="I102" s="97"/>
      <c r="J102" s="96"/>
      <c r="K102" s="97"/>
      <c r="L102" s="1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>
        <v>80051</v>
      </c>
      <c r="X102" s="97"/>
      <c r="Y102" s="14"/>
      <c r="Z102" s="12"/>
      <c r="AB102" s="12"/>
      <c r="AC102" s="12"/>
    </row>
    <row r="103" spans="1:29" ht="12.75" customHeight="1">
      <c r="A103" s="96">
        <f t="shared" si="28"/>
        <v>57</v>
      </c>
      <c r="B103" s="13" t="s">
        <v>119</v>
      </c>
      <c r="C103" s="97">
        <f t="shared" si="26"/>
        <v>80051</v>
      </c>
      <c r="D103" s="86">
        <f t="shared" si="27"/>
        <v>0</v>
      </c>
      <c r="E103" s="97"/>
      <c r="F103" s="97"/>
      <c r="G103" s="97"/>
      <c r="H103" s="97"/>
      <c r="I103" s="97"/>
      <c r="J103" s="96"/>
      <c r="K103" s="97"/>
      <c r="L103" s="1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>
        <v>80051</v>
      </c>
      <c r="X103" s="97"/>
      <c r="Y103" s="14"/>
      <c r="Z103" s="12"/>
      <c r="AB103" s="12"/>
      <c r="AC103" s="12"/>
    </row>
    <row r="104" spans="1:29" ht="15" customHeight="1">
      <c r="A104" s="96">
        <f t="shared" si="28"/>
        <v>58</v>
      </c>
      <c r="B104" s="13" t="s">
        <v>120</v>
      </c>
      <c r="C104" s="97">
        <f t="shared" si="26"/>
        <v>78299</v>
      </c>
      <c r="D104" s="86">
        <f t="shared" si="27"/>
        <v>0</v>
      </c>
      <c r="E104" s="97"/>
      <c r="F104" s="97"/>
      <c r="G104" s="97"/>
      <c r="H104" s="97"/>
      <c r="I104" s="97"/>
      <c r="J104" s="96"/>
      <c r="K104" s="97"/>
      <c r="L104" s="1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>
        <v>78299</v>
      </c>
      <c r="X104" s="97"/>
      <c r="Y104" s="14"/>
      <c r="Z104" s="12"/>
      <c r="AB104" s="12"/>
      <c r="AC104" s="12"/>
    </row>
    <row r="105" spans="1:29" ht="18" customHeight="1">
      <c r="A105" s="96">
        <f t="shared" si="28"/>
        <v>59</v>
      </c>
      <c r="B105" s="13" t="s">
        <v>151</v>
      </c>
      <c r="C105" s="97">
        <f t="shared" si="26"/>
        <v>203150</v>
      </c>
      <c r="D105" s="86">
        <f t="shared" si="27"/>
        <v>0</v>
      </c>
      <c r="E105" s="97"/>
      <c r="F105" s="97"/>
      <c r="G105" s="97"/>
      <c r="H105" s="97"/>
      <c r="I105" s="97"/>
      <c r="J105" s="96"/>
      <c r="K105" s="97"/>
      <c r="L105" s="1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>
        <f>89784+62215+51151</f>
        <v>203150</v>
      </c>
      <c r="X105" s="97"/>
      <c r="Y105" s="14"/>
      <c r="Z105" s="12"/>
      <c r="AB105" s="12"/>
      <c r="AC105" s="12"/>
    </row>
    <row r="106" spans="1:29" ht="12.75" customHeight="1">
      <c r="A106" s="96">
        <f t="shared" si="28"/>
        <v>60</v>
      </c>
      <c r="B106" s="13" t="s">
        <v>152</v>
      </c>
      <c r="C106" s="97">
        <f t="shared" si="26"/>
        <v>144980</v>
      </c>
      <c r="D106" s="86">
        <f t="shared" si="27"/>
        <v>0</v>
      </c>
      <c r="E106" s="97"/>
      <c r="F106" s="97"/>
      <c r="G106" s="97"/>
      <c r="H106" s="97"/>
      <c r="I106" s="97"/>
      <c r="J106" s="96"/>
      <c r="K106" s="97"/>
      <c r="L106" s="1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>
        <f>73799+71181</f>
        <v>144980</v>
      </c>
      <c r="X106" s="97"/>
      <c r="Y106" s="14"/>
      <c r="Z106" s="12"/>
      <c r="AB106" s="12"/>
      <c r="AC106" s="12"/>
    </row>
    <row r="107" spans="1:29" ht="12.75" customHeight="1">
      <c r="A107" s="96">
        <f t="shared" si="28"/>
        <v>61</v>
      </c>
      <c r="B107" s="13" t="s">
        <v>121</v>
      </c>
      <c r="C107" s="97">
        <f t="shared" si="26"/>
        <v>55208</v>
      </c>
      <c r="D107" s="86">
        <f t="shared" si="27"/>
        <v>0</v>
      </c>
      <c r="E107" s="97"/>
      <c r="F107" s="97"/>
      <c r="G107" s="97"/>
      <c r="H107" s="97"/>
      <c r="I107" s="97"/>
      <c r="J107" s="96"/>
      <c r="K107" s="97"/>
      <c r="L107" s="1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>
        <v>55208</v>
      </c>
      <c r="X107" s="97"/>
      <c r="Y107" s="14"/>
      <c r="Z107" s="12"/>
      <c r="AB107" s="12"/>
      <c r="AC107" s="12"/>
    </row>
    <row r="108" spans="1:29" ht="12.75" customHeight="1">
      <c r="A108" s="96">
        <f t="shared" si="28"/>
        <v>62</v>
      </c>
      <c r="B108" s="13" t="s">
        <v>185</v>
      </c>
      <c r="C108" s="97">
        <f t="shared" si="26"/>
        <v>99295</v>
      </c>
      <c r="D108" s="86">
        <f t="shared" si="27"/>
        <v>0</v>
      </c>
      <c r="E108" s="97"/>
      <c r="F108" s="97"/>
      <c r="G108" s="97"/>
      <c r="H108" s="97"/>
      <c r="I108" s="97"/>
      <c r="J108" s="96"/>
      <c r="K108" s="97"/>
      <c r="L108" s="1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>
        <v>99295</v>
      </c>
      <c r="X108" s="97"/>
      <c r="Y108" s="14"/>
      <c r="Z108" s="12"/>
      <c r="AB108" s="12"/>
      <c r="AC108" s="12"/>
    </row>
    <row r="109" spans="1:29" ht="12.75" customHeight="1">
      <c r="A109" s="96">
        <f t="shared" si="28"/>
        <v>63</v>
      </c>
      <c r="B109" s="13" t="s">
        <v>122</v>
      </c>
      <c r="C109" s="97">
        <f t="shared" si="26"/>
        <v>48241</v>
      </c>
      <c r="D109" s="86">
        <f t="shared" si="27"/>
        <v>0</v>
      </c>
      <c r="E109" s="97"/>
      <c r="F109" s="97"/>
      <c r="G109" s="97"/>
      <c r="H109" s="97"/>
      <c r="I109" s="97"/>
      <c r="J109" s="96"/>
      <c r="K109" s="97"/>
      <c r="L109" s="1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>
        <v>48241</v>
      </c>
      <c r="X109" s="97"/>
      <c r="Y109" s="14"/>
      <c r="Z109" s="12"/>
      <c r="AB109" s="12"/>
      <c r="AC109" s="12"/>
    </row>
    <row r="110" spans="1:29" ht="12.75" customHeight="1">
      <c r="A110" s="96">
        <f t="shared" si="28"/>
        <v>64</v>
      </c>
      <c r="B110" s="13" t="s">
        <v>123</v>
      </c>
      <c r="C110" s="97">
        <f t="shared" si="26"/>
        <v>70126</v>
      </c>
      <c r="D110" s="86">
        <f t="shared" si="27"/>
        <v>0</v>
      </c>
      <c r="E110" s="97"/>
      <c r="F110" s="97"/>
      <c r="G110" s="97"/>
      <c r="H110" s="97"/>
      <c r="I110" s="97"/>
      <c r="J110" s="96"/>
      <c r="K110" s="97"/>
      <c r="L110" s="1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>
        <v>70126</v>
      </c>
      <c r="X110" s="97"/>
      <c r="Y110" s="14"/>
      <c r="Z110" s="12"/>
      <c r="AB110" s="12"/>
      <c r="AC110" s="12"/>
    </row>
    <row r="111" spans="1:29" ht="12.75" customHeight="1">
      <c r="A111" s="96">
        <f t="shared" si="28"/>
        <v>65</v>
      </c>
      <c r="B111" s="13" t="s">
        <v>124</v>
      </c>
      <c r="C111" s="97">
        <f t="shared" si="26"/>
        <v>234185</v>
      </c>
      <c r="D111" s="86">
        <f t="shared" si="27"/>
        <v>0</v>
      </c>
      <c r="E111" s="97"/>
      <c r="F111" s="97"/>
      <c r="G111" s="97"/>
      <c r="H111" s="97"/>
      <c r="I111" s="97"/>
      <c r="J111" s="96"/>
      <c r="K111" s="97"/>
      <c r="L111" s="1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>
        <f>101421+132764</f>
        <v>234185</v>
      </c>
      <c r="X111" s="97"/>
      <c r="Y111" s="14"/>
      <c r="Z111" s="12"/>
      <c r="AB111" s="12"/>
      <c r="AC111" s="12"/>
    </row>
    <row r="112" spans="1:29" ht="12.75" customHeight="1">
      <c r="A112" s="96">
        <f t="shared" si="28"/>
        <v>66</v>
      </c>
      <c r="B112" s="13" t="s">
        <v>125</v>
      </c>
      <c r="C112" s="97">
        <f t="shared" si="26"/>
        <v>255185</v>
      </c>
      <c r="D112" s="86">
        <f t="shared" si="27"/>
        <v>0</v>
      </c>
      <c r="E112" s="97"/>
      <c r="F112" s="97"/>
      <c r="G112" s="97"/>
      <c r="H112" s="97"/>
      <c r="I112" s="97"/>
      <c r="J112" s="96"/>
      <c r="K112" s="97"/>
      <c r="L112" s="1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>
        <f>105547+149638</f>
        <v>255185</v>
      </c>
      <c r="X112" s="97"/>
      <c r="Y112" s="14"/>
      <c r="Z112" s="12"/>
      <c r="AB112" s="12"/>
      <c r="AC112" s="12"/>
    </row>
    <row r="113" spans="1:29" ht="12.75" customHeight="1">
      <c r="A113" s="96">
        <f t="shared" si="28"/>
        <v>67</v>
      </c>
      <c r="B113" s="13" t="s">
        <v>126</v>
      </c>
      <c r="C113" s="97">
        <f t="shared" si="26"/>
        <v>191323</v>
      </c>
      <c r="D113" s="86">
        <f t="shared" si="27"/>
        <v>0</v>
      </c>
      <c r="E113" s="97"/>
      <c r="F113" s="97"/>
      <c r="G113" s="97"/>
      <c r="H113" s="97"/>
      <c r="I113" s="97"/>
      <c r="J113" s="96"/>
      <c r="K113" s="97"/>
      <c r="L113" s="1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>
        <f>89925+101398</f>
        <v>191323</v>
      </c>
      <c r="X113" s="97"/>
      <c r="Y113" s="14"/>
      <c r="Z113" s="12"/>
      <c r="AB113" s="12"/>
      <c r="AC113" s="12"/>
    </row>
    <row r="114" spans="1:29" ht="12.75" customHeight="1">
      <c r="A114" s="96">
        <f t="shared" si="28"/>
        <v>68</v>
      </c>
      <c r="B114" s="13" t="s">
        <v>127</v>
      </c>
      <c r="C114" s="97">
        <f t="shared" si="26"/>
        <v>152175</v>
      </c>
      <c r="D114" s="86">
        <f t="shared" si="27"/>
        <v>0</v>
      </c>
      <c r="E114" s="97"/>
      <c r="F114" s="97"/>
      <c r="G114" s="97"/>
      <c r="H114" s="97"/>
      <c r="I114" s="97"/>
      <c r="J114" s="96"/>
      <c r="K114" s="97"/>
      <c r="L114" s="1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>
        <f>79556+72619</f>
        <v>152175</v>
      </c>
      <c r="X114" s="97"/>
      <c r="Y114" s="14"/>
      <c r="Z114" s="12"/>
      <c r="AB114" s="12"/>
      <c r="AC114" s="12"/>
    </row>
    <row r="115" spans="1:29" ht="12.75" customHeight="1">
      <c r="A115" s="96">
        <f t="shared" si="28"/>
        <v>69</v>
      </c>
      <c r="B115" s="13" t="s">
        <v>128</v>
      </c>
      <c r="C115" s="97">
        <f t="shared" si="26"/>
        <v>80672</v>
      </c>
      <c r="D115" s="86">
        <f t="shared" si="27"/>
        <v>0</v>
      </c>
      <c r="E115" s="97"/>
      <c r="F115" s="97"/>
      <c r="G115" s="97"/>
      <c r="H115" s="97"/>
      <c r="I115" s="97"/>
      <c r="J115" s="96"/>
      <c r="K115" s="97"/>
      <c r="L115" s="1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>
        <f>43837+36835</f>
        <v>80672</v>
      </c>
      <c r="X115" s="97"/>
      <c r="Y115" s="14"/>
      <c r="Z115" s="12"/>
      <c r="AB115" s="12"/>
      <c r="AC115" s="12"/>
    </row>
    <row r="116" spans="1:29" ht="12.75" customHeight="1">
      <c r="A116" s="96">
        <f t="shared" si="28"/>
        <v>70</v>
      </c>
      <c r="B116" s="13" t="s">
        <v>129</v>
      </c>
      <c r="C116" s="97">
        <f t="shared" si="26"/>
        <v>180350</v>
      </c>
      <c r="D116" s="86">
        <f t="shared" si="27"/>
        <v>0</v>
      </c>
      <c r="E116" s="97"/>
      <c r="F116" s="97"/>
      <c r="G116" s="97"/>
      <c r="H116" s="97"/>
      <c r="I116" s="97"/>
      <c r="J116" s="96"/>
      <c r="K116" s="97"/>
      <c r="L116" s="1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86">
        <f>64087+54896+61367</f>
        <v>180350</v>
      </c>
      <c r="X116" s="97"/>
      <c r="Y116" s="14"/>
      <c r="Z116" s="12"/>
      <c r="AB116" s="12"/>
      <c r="AC116" s="12"/>
    </row>
    <row r="117" spans="1:29" ht="12.75" customHeight="1">
      <c r="A117" s="96">
        <f t="shared" si="28"/>
        <v>71</v>
      </c>
      <c r="B117" s="13" t="s">
        <v>130</v>
      </c>
      <c r="C117" s="97">
        <f t="shared" si="26"/>
        <v>102424</v>
      </c>
      <c r="D117" s="86">
        <f t="shared" si="27"/>
        <v>0</v>
      </c>
      <c r="E117" s="97"/>
      <c r="F117" s="97"/>
      <c r="G117" s="97"/>
      <c r="H117" s="97"/>
      <c r="I117" s="97"/>
      <c r="J117" s="96"/>
      <c r="K117" s="97"/>
      <c r="L117" s="1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>
        <v>102424</v>
      </c>
      <c r="X117" s="97"/>
      <c r="Y117" s="14"/>
      <c r="Z117" s="12"/>
      <c r="AB117" s="12"/>
      <c r="AC117" s="12"/>
    </row>
    <row r="118" spans="1:29" ht="12.75" customHeight="1">
      <c r="A118" s="96">
        <f t="shared" si="28"/>
        <v>72</v>
      </c>
      <c r="B118" s="13" t="s">
        <v>131</v>
      </c>
      <c r="C118" s="97">
        <f t="shared" si="26"/>
        <v>213016</v>
      </c>
      <c r="D118" s="86">
        <f t="shared" si="27"/>
        <v>0</v>
      </c>
      <c r="E118" s="97"/>
      <c r="F118" s="97"/>
      <c r="G118" s="97"/>
      <c r="H118" s="97"/>
      <c r="I118" s="97"/>
      <c r="J118" s="96"/>
      <c r="K118" s="97"/>
      <c r="L118" s="1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86">
        <f>70478+66291+76247</f>
        <v>213016</v>
      </c>
      <c r="X118" s="97"/>
      <c r="Y118" s="14"/>
      <c r="Z118" s="12"/>
      <c r="AB118" s="12"/>
      <c r="AC118" s="12"/>
    </row>
    <row r="119" spans="1:29" ht="12.75" customHeight="1">
      <c r="A119" s="96">
        <f t="shared" si="28"/>
        <v>73</v>
      </c>
      <c r="B119" s="13" t="s">
        <v>132</v>
      </c>
      <c r="C119" s="97">
        <f t="shared" si="26"/>
        <v>75088</v>
      </c>
      <c r="D119" s="86">
        <f t="shared" si="27"/>
        <v>0</v>
      </c>
      <c r="E119" s="97"/>
      <c r="F119" s="97"/>
      <c r="G119" s="97"/>
      <c r="H119" s="97"/>
      <c r="I119" s="97"/>
      <c r="J119" s="96"/>
      <c r="K119" s="97"/>
      <c r="L119" s="1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>
        <v>75088</v>
      </c>
      <c r="X119" s="97"/>
      <c r="Y119" s="14"/>
      <c r="Z119" s="12"/>
      <c r="AB119" s="12"/>
      <c r="AC119" s="12"/>
    </row>
    <row r="120" spans="1:29" ht="12.75" customHeight="1">
      <c r="A120" s="96">
        <f t="shared" si="28"/>
        <v>74</v>
      </c>
      <c r="B120" s="13" t="s">
        <v>133</v>
      </c>
      <c r="C120" s="97">
        <f t="shared" si="26"/>
        <v>200872</v>
      </c>
      <c r="D120" s="86">
        <f t="shared" si="27"/>
        <v>0</v>
      </c>
      <c r="E120" s="97"/>
      <c r="F120" s="97"/>
      <c r="G120" s="97"/>
      <c r="H120" s="97"/>
      <c r="I120" s="97"/>
      <c r="J120" s="96"/>
      <c r="K120" s="97"/>
      <c r="L120" s="1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86">
        <f>71072+67394+62406</f>
        <v>200872</v>
      </c>
      <c r="X120" s="97"/>
      <c r="Y120" s="14"/>
      <c r="Z120" s="12"/>
      <c r="AB120" s="12"/>
      <c r="AC120" s="12"/>
    </row>
    <row r="121" spans="1:29" ht="12.75" customHeight="1">
      <c r="A121" s="96">
        <f t="shared" si="28"/>
        <v>75</v>
      </c>
      <c r="B121" s="13" t="s">
        <v>134</v>
      </c>
      <c r="C121" s="97">
        <f t="shared" si="26"/>
        <v>141012</v>
      </c>
      <c r="D121" s="86">
        <f t="shared" si="27"/>
        <v>0</v>
      </c>
      <c r="E121" s="97"/>
      <c r="F121" s="97"/>
      <c r="G121" s="97"/>
      <c r="H121" s="97"/>
      <c r="I121" s="97"/>
      <c r="J121" s="96"/>
      <c r="K121" s="97"/>
      <c r="L121" s="1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>
        <f>73017+67995</f>
        <v>141012</v>
      </c>
      <c r="X121" s="97"/>
      <c r="Y121" s="14"/>
      <c r="Z121" s="12"/>
      <c r="AB121" s="12"/>
      <c r="AC121" s="12"/>
    </row>
    <row r="122" spans="1:29" ht="12.75" customHeight="1">
      <c r="A122" s="96">
        <f t="shared" si="28"/>
        <v>76</v>
      </c>
      <c r="B122" s="13" t="s">
        <v>135</v>
      </c>
      <c r="C122" s="97">
        <f t="shared" si="26"/>
        <v>115999</v>
      </c>
      <c r="D122" s="86">
        <f t="shared" si="27"/>
        <v>0</v>
      </c>
      <c r="E122" s="97"/>
      <c r="F122" s="97"/>
      <c r="G122" s="97"/>
      <c r="H122" s="97"/>
      <c r="I122" s="97"/>
      <c r="J122" s="96"/>
      <c r="K122" s="97"/>
      <c r="L122" s="1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>
        <f>62390+53609</f>
        <v>115999</v>
      </c>
      <c r="X122" s="97"/>
      <c r="Y122" s="14"/>
      <c r="Z122" s="12"/>
      <c r="AB122" s="12"/>
      <c r="AC122" s="12"/>
    </row>
    <row r="123" spans="1:29" ht="12.75" customHeight="1">
      <c r="A123" s="96">
        <f t="shared" si="28"/>
        <v>77</v>
      </c>
      <c r="B123" s="13" t="s">
        <v>136</v>
      </c>
      <c r="C123" s="97">
        <f t="shared" si="26"/>
        <v>70620</v>
      </c>
      <c r="D123" s="86">
        <f t="shared" si="27"/>
        <v>0</v>
      </c>
      <c r="E123" s="97"/>
      <c r="F123" s="97"/>
      <c r="G123" s="97"/>
      <c r="H123" s="97"/>
      <c r="I123" s="97"/>
      <c r="J123" s="96"/>
      <c r="K123" s="97"/>
      <c r="L123" s="1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>
        <v>70620</v>
      </c>
      <c r="X123" s="97"/>
      <c r="Y123" s="14"/>
      <c r="Z123" s="12"/>
      <c r="AB123" s="12"/>
      <c r="AC123" s="12"/>
    </row>
    <row r="124" spans="1:29" ht="12.75" customHeight="1">
      <c r="A124" s="96">
        <f t="shared" si="28"/>
        <v>78</v>
      </c>
      <c r="B124" s="13" t="s">
        <v>137</v>
      </c>
      <c r="C124" s="97">
        <f t="shared" si="26"/>
        <v>71467</v>
      </c>
      <c r="D124" s="86">
        <f t="shared" si="27"/>
        <v>0</v>
      </c>
      <c r="E124" s="97"/>
      <c r="F124" s="97"/>
      <c r="G124" s="97"/>
      <c r="H124" s="97"/>
      <c r="I124" s="97"/>
      <c r="J124" s="96"/>
      <c r="K124" s="97"/>
      <c r="L124" s="1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>
        <v>71467</v>
      </c>
      <c r="X124" s="97"/>
      <c r="Y124" s="14"/>
      <c r="Z124" s="12"/>
      <c r="AB124" s="12"/>
      <c r="AC124" s="12"/>
    </row>
    <row r="125" spans="1:29" ht="12.75" customHeight="1">
      <c r="A125" s="96">
        <f t="shared" si="28"/>
        <v>79</v>
      </c>
      <c r="B125" s="13" t="s">
        <v>138</v>
      </c>
      <c r="C125" s="97">
        <f t="shared" si="26"/>
        <v>182928</v>
      </c>
      <c r="D125" s="86">
        <f t="shared" si="27"/>
        <v>0</v>
      </c>
      <c r="E125" s="97"/>
      <c r="F125" s="97"/>
      <c r="G125" s="97"/>
      <c r="H125" s="97"/>
      <c r="I125" s="97"/>
      <c r="J125" s="96"/>
      <c r="K125" s="97"/>
      <c r="L125" s="1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86">
        <f>64057+54576+64295</f>
        <v>182928</v>
      </c>
      <c r="X125" s="97"/>
      <c r="Y125" s="14"/>
      <c r="Z125" s="12"/>
      <c r="AB125" s="12"/>
      <c r="AC125" s="12"/>
    </row>
    <row r="126" spans="1:29" ht="12.75" customHeight="1">
      <c r="A126" s="96">
        <f t="shared" si="28"/>
        <v>80</v>
      </c>
      <c r="B126" s="13" t="s">
        <v>139</v>
      </c>
      <c r="C126" s="97">
        <f t="shared" si="26"/>
        <v>193040</v>
      </c>
      <c r="D126" s="86">
        <f t="shared" si="27"/>
        <v>0</v>
      </c>
      <c r="E126" s="97"/>
      <c r="F126" s="97"/>
      <c r="G126" s="97"/>
      <c r="H126" s="97"/>
      <c r="I126" s="97"/>
      <c r="J126" s="96"/>
      <c r="K126" s="97"/>
      <c r="L126" s="1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86">
        <f>69307+64339+59394</f>
        <v>193040</v>
      </c>
      <c r="X126" s="97"/>
      <c r="Y126" s="14"/>
      <c r="Z126" s="12"/>
      <c r="AB126" s="12"/>
      <c r="AC126" s="12"/>
    </row>
    <row r="127" spans="1:29" ht="12.75" customHeight="1">
      <c r="A127" s="96">
        <f t="shared" si="28"/>
        <v>81</v>
      </c>
      <c r="B127" s="13" t="s">
        <v>140</v>
      </c>
      <c r="C127" s="97">
        <f t="shared" si="26"/>
        <v>226977</v>
      </c>
      <c r="D127" s="86">
        <f t="shared" si="27"/>
        <v>0</v>
      </c>
      <c r="E127" s="97"/>
      <c r="F127" s="97"/>
      <c r="G127" s="97"/>
      <c r="H127" s="97"/>
      <c r="I127" s="97"/>
      <c r="J127" s="96"/>
      <c r="K127" s="97"/>
      <c r="L127" s="1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86">
        <f>62668+63198+52978+48133</f>
        <v>226977</v>
      </c>
      <c r="X127" s="97"/>
      <c r="Y127" s="14"/>
      <c r="Z127" s="12"/>
      <c r="AB127" s="12"/>
      <c r="AC127" s="12"/>
    </row>
    <row r="128" spans="1:29" ht="12.75" customHeight="1">
      <c r="A128" s="96">
        <f t="shared" si="28"/>
        <v>82</v>
      </c>
      <c r="B128" s="13" t="s">
        <v>141</v>
      </c>
      <c r="C128" s="97">
        <f t="shared" si="26"/>
        <v>102696</v>
      </c>
      <c r="D128" s="86">
        <f t="shared" si="27"/>
        <v>0</v>
      </c>
      <c r="E128" s="97"/>
      <c r="F128" s="97"/>
      <c r="G128" s="97"/>
      <c r="H128" s="97"/>
      <c r="I128" s="97"/>
      <c r="J128" s="96"/>
      <c r="K128" s="97"/>
      <c r="L128" s="1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>
        <v>102696</v>
      </c>
      <c r="X128" s="97"/>
      <c r="Y128" s="14"/>
      <c r="Z128" s="12"/>
      <c r="AB128" s="12"/>
      <c r="AC128" s="12"/>
    </row>
    <row r="129" spans="1:29" ht="12.75" customHeight="1">
      <c r="A129" s="96">
        <f t="shared" si="28"/>
        <v>83</v>
      </c>
      <c r="B129" s="13" t="s">
        <v>142</v>
      </c>
      <c r="C129" s="97">
        <f t="shared" si="26"/>
        <v>224456</v>
      </c>
      <c r="D129" s="86">
        <f t="shared" si="27"/>
        <v>0</v>
      </c>
      <c r="E129" s="97"/>
      <c r="F129" s="97"/>
      <c r="G129" s="97"/>
      <c r="H129" s="97"/>
      <c r="I129" s="97"/>
      <c r="J129" s="96"/>
      <c r="K129" s="97"/>
      <c r="L129" s="1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>
        <f>117719+106737</f>
        <v>224456</v>
      </c>
      <c r="X129" s="97"/>
      <c r="Y129" s="14"/>
      <c r="Z129" s="12"/>
      <c r="AB129" s="12"/>
      <c r="AC129" s="12"/>
    </row>
    <row r="130" spans="1:29" ht="12.75" customHeight="1">
      <c r="A130" s="96">
        <f t="shared" si="28"/>
        <v>84</v>
      </c>
      <c r="B130" s="13" t="s">
        <v>810</v>
      </c>
      <c r="C130" s="97">
        <f>D130+K130+M130+O130+Q130+S130+U130+V130+W130+X130</f>
        <v>157668</v>
      </c>
      <c r="D130" s="86">
        <f>E130+F130+G130+H130+I130</f>
        <v>0</v>
      </c>
      <c r="E130" s="97"/>
      <c r="F130" s="97"/>
      <c r="G130" s="97"/>
      <c r="H130" s="97"/>
      <c r="I130" s="97"/>
      <c r="J130" s="10"/>
      <c r="K130" s="97"/>
      <c r="L130" s="97"/>
      <c r="M130" s="97"/>
      <c r="N130" s="86"/>
      <c r="O130" s="97"/>
      <c r="P130" s="97"/>
      <c r="Q130" s="97"/>
      <c r="R130" s="97"/>
      <c r="S130" s="97"/>
      <c r="T130" s="97"/>
      <c r="U130" s="97"/>
      <c r="V130" s="86"/>
      <c r="W130" s="86">
        <f>61786+50352+45530</f>
        <v>157668</v>
      </c>
      <c r="X130" s="97"/>
      <c r="Y130" s="14"/>
      <c r="Z130" s="12"/>
      <c r="AB130" s="12"/>
      <c r="AC130" s="12"/>
    </row>
    <row r="131" spans="1:29" ht="12.75" customHeight="1">
      <c r="A131" s="96">
        <f t="shared" si="28"/>
        <v>85</v>
      </c>
      <c r="B131" s="13" t="s">
        <v>143</v>
      </c>
      <c r="C131" s="97">
        <f t="shared" si="26"/>
        <v>195207</v>
      </c>
      <c r="D131" s="86">
        <f t="shared" si="27"/>
        <v>0</v>
      </c>
      <c r="E131" s="97"/>
      <c r="F131" s="97"/>
      <c r="G131" s="97"/>
      <c r="H131" s="97"/>
      <c r="I131" s="97"/>
      <c r="J131" s="96"/>
      <c r="K131" s="97"/>
      <c r="L131" s="1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86">
        <f>69768+65196+60243</f>
        <v>195207</v>
      </c>
      <c r="X131" s="97"/>
      <c r="Y131" s="14"/>
      <c r="Z131" s="12"/>
      <c r="AB131" s="12"/>
      <c r="AC131" s="12"/>
    </row>
    <row r="132" spans="1:29" ht="12.75" customHeight="1">
      <c r="A132" s="96">
        <f t="shared" si="28"/>
        <v>86</v>
      </c>
      <c r="B132" s="13" t="s">
        <v>144</v>
      </c>
      <c r="C132" s="97">
        <f t="shared" si="26"/>
        <v>200100</v>
      </c>
      <c r="D132" s="86">
        <f t="shared" si="27"/>
        <v>0</v>
      </c>
      <c r="E132" s="97"/>
      <c r="F132" s="97"/>
      <c r="G132" s="97"/>
      <c r="H132" s="97"/>
      <c r="I132" s="97"/>
      <c r="J132" s="96"/>
      <c r="K132" s="97"/>
      <c r="L132" s="1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86">
        <f>99439+100661</f>
        <v>200100</v>
      </c>
      <c r="X132" s="97"/>
      <c r="Y132" s="14"/>
      <c r="Z132" s="12"/>
      <c r="AB132" s="12"/>
      <c r="AC132" s="12"/>
    </row>
    <row r="133" spans="1:29" ht="12.75" customHeight="1">
      <c r="A133" s="96">
        <f t="shared" si="28"/>
        <v>87</v>
      </c>
      <c r="B133" s="13" t="s">
        <v>145</v>
      </c>
      <c r="C133" s="97">
        <f t="shared" si="26"/>
        <v>99323</v>
      </c>
      <c r="D133" s="86">
        <f t="shared" si="27"/>
        <v>0</v>
      </c>
      <c r="E133" s="97"/>
      <c r="F133" s="97"/>
      <c r="G133" s="97"/>
      <c r="H133" s="97"/>
      <c r="I133" s="97"/>
      <c r="J133" s="96"/>
      <c r="K133" s="97"/>
      <c r="L133" s="1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>
        <v>99323</v>
      </c>
      <c r="X133" s="97"/>
      <c r="Y133" s="14"/>
      <c r="Z133" s="12"/>
      <c r="AB133" s="12"/>
      <c r="AC133" s="12"/>
    </row>
    <row r="134" spans="1:29" ht="12.75" customHeight="1">
      <c r="A134" s="96">
        <f t="shared" si="28"/>
        <v>88</v>
      </c>
      <c r="B134" s="13" t="s">
        <v>146</v>
      </c>
      <c r="C134" s="97">
        <f t="shared" si="26"/>
        <v>164597</v>
      </c>
      <c r="D134" s="86">
        <f t="shared" si="27"/>
        <v>0</v>
      </c>
      <c r="E134" s="97"/>
      <c r="F134" s="97"/>
      <c r="G134" s="97"/>
      <c r="H134" s="97"/>
      <c r="I134" s="97"/>
      <c r="J134" s="96"/>
      <c r="K134" s="97"/>
      <c r="L134" s="1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86">
        <f>63259+53092+48246</f>
        <v>164597</v>
      </c>
      <c r="X134" s="97"/>
      <c r="Y134" s="14"/>
      <c r="Z134" s="12"/>
      <c r="AB134" s="12"/>
      <c r="AC134" s="12"/>
    </row>
    <row r="135" spans="1:29" ht="12.75" customHeight="1">
      <c r="A135" s="96">
        <f t="shared" si="28"/>
        <v>89</v>
      </c>
      <c r="B135" s="13" t="s">
        <v>147</v>
      </c>
      <c r="C135" s="97">
        <f t="shared" si="26"/>
        <v>100661</v>
      </c>
      <c r="D135" s="86">
        <f t="shared" si="27"/>
        <v>0</v>
      </c>
      <c r="E135" s="97"/>
      <c r="F135" s="97"/>
      <c r="G135" s="97"/>
      <c r="H135" s="97"/>
      <c r="I135" s="97"/>
      <c r="J135" s="96"/>
      <c r="K135" s="97"/>
      <c r="L135" s="1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>
        <v>100661</v>
      </c>
      <c r="X135" s="97"/>
      <c r="Y135" s="14"/>
      <c r="Z135" s="12"/>
      <c r="AB135" s="12"/>
      <c r="AC135" s="12"/>
    </row>
    <row r="136" spans="1:29" ht="12.75" customHeight="1">
      <c r="A136" s="96">
        <f t="shared" si="28"/>
        <v>90</v>
      </c>
      <c r="B136" s="13" t="s">
        <v>148</v>
      </c>
      <c r="C136" s="97">
        <f t="shared" si="26"/>
        <v>227608</v>
      </c>
      <c r="D136" s="86">
        <f t="shared" si="27"/>
        <v>0</v>
      </c>
      <c r="E136" s="97"/>
      <c r="F136" s="97"/>
      <c r="G136" s="97"/>
      <c r="H136" s="97"/>
      <c r="I136" s="97"/>
      <c r="J136" s="96"/>
      <c r="K136" s="97"/>
      <c r="L136" s="1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>
        <f>136807+90801</f>
        <v>227608</v>
      </c>
      <c r="X136" s="97"/>
      <c r="Y136" s="14"/>
      <c r="Z136" s="12"/>
      <c r="AB136" s="12"/>
      <c r="AC136" s="12"/>
    </row>
    <row r="137" spans="1:29" ht="12.75" customHeight="1">
      <c r="A137" s="96">
        <f t="shared" si="28"/>
        <v>91</v>
      </c>
      <c r="B137" s="13" t="s">
        <v>149</v>
      </c>
      <c r="C137" s="97">
        <f t="shared" si="26"/>
        <v>224646</v>
      </c>
      <c r="D137" s="86">
        <f t="shared" si="27"/>
        <v>0</v>
      </c>
      <c r="E137" s="97"/>
      <c r="F137" s="97"/>
      <c r="G137" s="97"/>
      <c r="H137" s="97"/>
      <c r="I137" s="97"/>
      <c r="J137" s="96"/>
      <c r="K137" s="97"/>
      <c r="L137" s="1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>
        <f>117815+106831</f>
        <v>224646</v>
      </c>
      <c r="X137" s="97"/>
      <c r="Y137" s="14"/>
      <c r="Z137" s="12"/>
      <c r="AB137" s="12"/>
      <c r="AC137" s="12"/>
    </row>
    <row r="138" spans="1:29" ht="12.75" customHeight="1">
      <c r="A138" s="96">
        <f t="shared" si="28"/>
        <v>92</v>
      </c>
      <c r="B138" s="13" t="s">
        <v>150</v>
      </c>
      <c r="C138" s="97">
        <f t="shared" si="26"/>
        <v>198671</v>
      </c>
      <c r="D138" s="86">
        <f t="shared" si="27"/>
        <v>0</v>
      </c>
      <c r="E138" s="97"/>
      <c r="F138" s="97"/>
      <c r="G138" s="97"/>
      <c r="H138" s="97"/>
      <c r="I138" s="97"/>
      <c r="J138" s="96"/>
      <c r="K138" s="97"/>
      <c r="L138" s="1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>
        <f>120088+78583</f>
        <v>198671</v>
      </c>
      <c r="X138" s="97"/>
      <c r="Y138" s="14"/>
      <c r="Z138" s="12"/>
      <c r="AB138" s="12"/>
      <c r="AC138" s="12"/>
    </row>
    <row r="139" spans="1:29" ht="12.75" customHeight="1">
      <c r="A139" s="96">
        <f t="shared" si="28"/>
        <v>93</v>
      </c>
      <c r="B139" s="13" t="s">
        <v>153</v>
      </c>
      <c r="C139" s="97">
        <f t="shared" si="26"/>
        <v>856071</v>
      </c>
      <c r="D139" s="86">
        <f t="shared" si="27"/>
        <v>0</v>
      </c>
      <c r="E139" s="97"/>
      <c r="F139" s="97"/>
      <c r="G139" s="97"/>
      <c r="H139" s="97"/>
      <c r="I139" s="97"/>
      <c r="J139" s="96"/>
      <c r="K139" s="97"/>
      <c r="L139" s="17">
        <v>150</v>
      </c>
      <c r="M139" s="97">
        <v>733629</v>
      </c>
      <c r="N139" s="97"/>
      <c r="O139" s="97"/>
      <c r="P139" s="97"/>
      <c r="Q139" s="97"/>
      <c r="R139" s="97"/>
      <c r="S139" s="97"/>
      <c r="T139" s="97"/>
      <c r="U139" s="97"/>
      <c r="V139" s="97"/>
      <c r="W139" s="97">
        <f>66096+56346</f>
        <v>122442</v>
      </c>
      <c r="X139" s="97"/>
      <c r="Y139" s="14"/>
      <c r="Z139" s="12"/>
      <c r="AB139" s="12"/>
      <c r="AC139" s="12"/>
    </row>
    <row r="140" spans="1:29" ht="12.75" customHeight="1">
      <c r="A140" s="96">
        <f t="shared" si="28"/>
        <v>94</v>
      </c>
      <c r="B140" s="13" t="s">
        <v>154</v>
      </c>
      <c r="C140" s="97">
        <f t="shared" si="26"/>
        <v>841446</v>
      </c>
      <c r="D140" s="86">
        <f t="shared" si="27"/>
        <v>0</v>
      </c>
      <c r="E140" s="97"/>
      <c r="F140" s="97"/>
      <c r="G140" s="97"/>
      <c r="H140" s="97"/>
      <c r="I140" s="97"/>
      <c r="J140" s="96"/>
      <c r="K140" s="97"/>
      <c r="L140" s="17">
        <v>150</v>
      </c>
      <c r="M140" s="97">
        <v>733629</v>
      </c>
      <c r="N140" s="97"/>
      <c r="O140" s="97"/>
      <c r="P140" s="97"/>
      <c r="Q140" s="97"/>
      <c r="R140" s="97"/>
      <c r="S140" s="97"/>
      <c r="T140" s="97"/>
      <c r="U140" s="97"/>
      <c r="V140" s="97"/>
      <c r="W140" s="97">
        <f>51471+56346</f>
        <v>107817</v>
      </c>
      <c r="X140" s="97"/>
      <c r="Y140" s="14"/>
      <c r="Z140" s="12"/>
      <c r="AB140" s="12"/>
      <c r="AC140" s="12"/>
    </row>
    <row r="141" spans="1:29" ht="12.75" customHeight="1">
      <c r="A141" s="96">
        <f t="shared" si="28"/>
        <v>95</v>
      </c>
      <c r="B141" s="13" t="s">
        <v>155</v>
      </c>
      <c r="C141" s="97">
        <f t="shared" si="26"/>
        <v>841446</v>
      </c>
      <c r="D141" s="86">
        <f t="shared" si="27"/>
        <v>0</v>
      </c>
      <c r="E141" s="97"/>
      <c r="F141" s="97"/>
      <c r="G141" s="97"/>
      <c r="H141" s="97"/>
      <c r="I141" s="97"/>
      <c r="J141" s="96"/>
      <c r="K141" s="97"/>
      <c r="L141" s="17">
        <v>150</v>
      </c>
      <c r="M141" s="97">
        <v>733629</v>
      </c>
      <c r="N141" s="97"/>
      <c r="O141" s="97"/>
      <c r="P141" s="97"/>
      <c r="Q141" s="97"/>
      <c r="R141" s="97"/>
      <c r="S141" s="97"/>
      <c r="T141" s="97"/>
      <c r="U141" s="97"/>
      <c r="V141" s="97"/>
      <c r="W141" s="97">
        <f>51471+56346</f>
        <v>107817</v>
      </c>
      <c r="X141" s="97"/>
      <c r="Y141" s="14"/>
      <c r="Z141" s="12"/>
      <c r="AB141" s="12"/>
      <c r="AC141" s="12"/>
    </row>
    <row r="142" spans="1:29" ht="12.75" customHeight="1">
      <c r="A142" s="96">
        <f t="shared" si="28"/>
        <v>96</v>
      </c>
      <c r="B142" s="13" t="s">
        <v>156</v>
      </c>
      <c r="C142" s="97">
        <f t="shared" si="26"/>
        <v>172826</v>
      </c>
      <c r="D142" s="86">
        <f t="shared" si="27"/>
        <v>0</v>
      </c>
      <c r="E142" s="97"/>
      <c r="F142" s="97"/>
      <c r="G142" s="97"/>
      <c r="H142" s="97"/>
      <c r="I142" s="97"/>
      <c r="J142" s="96"/>
      <c r="K142" s="97"/>
      <c r="L142" s="1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86">
        <f>65009+56346+51471</f>
        <v>172826</v>
      </c>
      <c r="X142" s="97"/>
      <c r="Y142" s="14"/>
      <c r="Z142" s="12"/>
      <c r="AB142" s="12"/>
      <c r="AC142" s="12"/>
    </row>
    <row r="143" spans="1:29" ht="12.75" customHeight="1">
      <c r="A143" s="96">
        <f t="shared" si="28"/>
        <v>97</v>
      </c>
      <c r="B143" s="13" t="s">
        <v>157</v>
      </c>
      <c r="C143" s="97">
        <f t="shared" si="26"/>
        <v>241703</v>
      </c>
      <c r="D143" s="86">
        <f t="shared" si="27"/>
        <v>0</v>
      </c>
      <c r="E143" s="97"/>
      <c r="F143" s="97"/>
      <c r="G143" s="97"/>
      <c r="H143" s="97"/>
      <c r="I143" s="97"/>
      <c r="J143" s="96"/>
      <c r="K143" s="97"/>
      <c r="L143" s="1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86">
        <f>96723+73799+71181</f>
        <v>241703</v>
      </c>
      <c r="X143" s="97"/>
      <c r="Y143" s="14"/>
      <c r="Z143" s="12"/>
      <c r="AB143" s="12"/>
      <c r="AC143" s="12"/>
    </row>
    <row r="144" spans="1:29" ht="12.75" customHeight="1">
      <c r="A144" s="96">
        <f t="shared" si="28"/>
        <v>98</v>
      </c>
      <c r="B144" s="13" t="s">
        <v>158</v>
      </c>
      <c r="C144" s="97">
        <f t="shared" si="26"/>
        <v>122321</v>
      </c>
      <c r="D144" s="86">
        <f t="shared" si="27"/>
        <v>0</v>
      </c>
      <c r="E144" s="97"/>
      <c r="F144" s="97"/>
      <c r="G144" s="97"/>
      <c r="H144" s="97"/>
      <c r="I144" s="97"/>
      <c r="J144" s="96"/>
      <c r="K144" s="97"/>
      <c r="L144" s="1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86">
        <f>65347+56974</f>
        <v>122321</v>
      </c>
      <c r="X144" s="97"/>
      <c r="Y144" s="14"/>
      <c r="Z144" s="12"/>
      <c r="AB144" s="12"/>
      <c r="AC144" s="12"/>
    </row>
    <row r="145" spans="1:29" ht="12.75" customHeight="1">
      <c r="A145" s="96">
        <f t="shared" si="28"/>
        <v>99</v>
      </c>
      <c r="B145" s="13" t="s">
        <v>159</v>
      </c>
      <c r="C145" s="97">
        <f t="shared" si="26"/>
        <v>259254</v>
      </c>
      <c r="D145" s="86">
        <f t="shared" si="27"/>
        <v>0</v>
      </c>
      <c r="E145" s="97"/>
      <c r="F145" s="97"/>
      <c r="G145" s="97"/>
      <c r="H145" s="97"/>
      <c r="I145" s="97"/>
      <c r="J145" s="96"/>
      <c r="K145" s="97"/>
      <c r="L145" s="1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86">
        <f>112965+74265+72024</f>
        <v>259254</v>
      </c>
      <c r="X145" s="97"/>
      <c r="Y145" s="14"/>
      <c r="Z145" s="12"/>
      <c r="AB145" s="12"/>
      <c r="AC145" s="12"/>
    </row>
    <row r="146" spans="1:29" ht="12.75" customHeight="1">
      <c r="A146" s="96">
        <f t="shared" si="28"/>
        <v>100</v>
      </c>
      <c r="B146" s="13" t="s">
        <v>160</v>
      </c>
      <c r="C146" s="97">
        <f t="shared" si="26"/>
        <v>317486</v>
      </c>
      <c r="D146" s="86">
        <f t="shared" si="27"/>
        <v>0</v>
      </c>
      <c r="E146" s="97"/>
      <c r="F146" s="97"/>
      <c r="G146" s="97"/>
      <c r="H146" s="97"/>
      <c r="I146" s="97"/>
      <c r="J146" s="96"/>
      <c r="K146" s="97"/>
      <c r="L146" s="1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86">
        <f>136929+86468+94089</f>
        <v>317486</v>
      </c>
      <c r="X146" s="97"/>
      <c r="Y146" s="14"/>
      <c r="Z146" s="12"/>
      <c r="AB146" s="12"/>
      <c r="AC146" s="12"/>
    </row>
    <row r="147" spans="1:29" ht="12.75" customHeight="1">
      <c r="A147" s="96">
        <f t="shared" si="28"/>
        <v>101</v>
      </c>
      <c r="B147" s="13" t="s">
        <v>161</v>
      </c>
      <c r="C147" s="97">
        <f t="shared" si="26"/>
        <v>178746</v>
      </c>
      <c r="D147" s="86">
        <f t="shared" si="27"/>
        <v>0</v>
      </c>
      <c r="E147" s="97"/>
      <c r="F147" s="97"/>
      <c r="G147" s="97"/>
      <c r="H147" s="97"/>
      <c r="I147" s="97"/>
      <c r="J147" s="96"/>
      <c r="K147" s="97"/>
      <c r="L147" s="1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86">
        <f>66268+58687+53791</f>
        <v>178746</v>
      </c>
      <c r="X147" s="97"/>
      <c r="Y147" s="14"/>
      <c r="Z147" s="12"/>
      <c r="AB147" s="12"/>
      <c r="AC147" s="12"/>
    </row>
    <row r="148" spans="1:29" ht="12.75" customHeight="1">
      <c r="A148" s="96">
        <f t="shared" si="28"/>
        <v>102</v>
      </c>
      <c r="B148" s="13" t="s">
        <v>162</v>
      </c>
      <c r="C148" s="97">
        <f t="shared" si="26"/>
        <v>250406</v>
      </c>
      <c r="D148" s="86">
        <f t="shared" si="27"/>
        <v>0</v>
      </c>
      <c r="E148" s="97"/>
      <c r="F148" s="97"/>
      <c r="G148" s="97"/>
      <c r="H148" s="97"/>
      <c r="I148" s="97"/>
      <c r="J148" s="96"/>
      <c r="K148" s="97"/>
      <c r="L148" s="1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>
        <f>152276+98130</f>
        <v>250406</v>
      </c>
      <c r="X148" s="97"/>
      <c r="Y148" s="14"/>
      <c r="Z148" s="12"/>
      <c r="AB148" s="12"/>
      <c r="AC148" s="12"/>
    </row>
    <row r="149" spans="1:29" ht="12.75" customHeight="1">
      <c r="A149" s="96">
        <f t="shared" si="28"/>
        <v>103</v>
      </c>
      <c r="B149" s="13" t="s">
        <v>163</v>
      </c>
      <c r="C149" s="97">
        <f t="shared" si="26"/>
        <v>187868</v>
      </c>
      <c r="D149" s="86">
        <f t="shared" si="27"/>
        <v>0</v>
      </c>
      <c r="E149" s="97"/>
      <c r="F149" s="97"/>
      <c r="G149" s="97"/>
      <c r="H149" s="97"/>
      <c r="I149" s="97"/>
      <c r="J149" s="96"/>
      <c r="K149" s="97"/>
      <c r="L149" s="1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>
        <f>114051+73817</f>
        <v>187868</v>
      </c>
      <c r="X149" s="97"/>
      <c r="Y149" s="14"/>
      <c r="Z149" s="12"/>
      <c r="AB149" s="12"/>
      <c r="AC149" s="12"/>
    </row>
    <row r="150" spans="1:29" ht="12.75" customHeight="1">
      <c r="A150" s="96">
        <f t="shared" si="28"/>
        <v>104</v>
      </c>
      <c r="B150" s="13" t="s">
        <v>811</v>
      </c>
      <c r="C150" s="97">
        <f>D150+K150+M150+O150+Q150+S150+U150+V150+W150+X150</f>
        <v>48012</v>
      </c>
      <c r="D150" s="86">
        <f>E150+F150+G150+H150+I150</f>
        <v>0</v>
      </c>
      <c r="E150" s="97"/>
      <c r="F150" s="97"/>
      <c r="G150" s="97"/>
      <c r="H150" s="97"/>
      <c r="I150" s="97"/>
      <c r="J150" s="10"/>
      <c r="K150" s="97"/>
      <c r="L150" s="17"/>
      <c r="M150" s="97"/>
      <c r="N150" s="86"/>
      <c r="O150" s="97"/>
      <c r="P150" s="97"/>
      <c r="Q150" s="97"/>
      <c r="R150" s="97"/>
      <c r="S150" s="97"/>
      <c r="T150" s="97"/>
      <c r="U150" s="97"/>
      <c r="V150" s="86"/>
      <c r="W150" s="97">
        <v>48012</v>
      </c>
      <c r="X150" s="97"/>
      <c r="Y150" s="14"/>
      <c r="Z150" s="12"/>
      <c r="AB150" s="12"/>
      <c r="AC150" s="12"/>
    </row>
    <row r="151" spans="1:29" ht="12.75" customHeight="1">
      <c r="A151" s="96">
        <f t="shared" si="28"/>
        <v>105</v>
      </c>
      <c r="B151" s="13" t="s">
        <v>164</v>
      </c>
      <c r="C151" s="97">
        <f t="shared" si="26"/>
        <v>234620</v>
      </c>
      <c r="D151" s="86">
        <f t="shared" si="27"/>
        <v>0</v>
      </c>
      <c r="E151" s="97"/>
      <c r="F151" s="97"/>
      <c r="G151" s="97"/>
      <c r="H151" s="97"/>
      <c r="I151" s="97"/>
      <c r="J151" s="96"/>
      <c r="K151" s="97"/>
      <c r="L151" s="1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86">
        <f>93860+72296+68464</f>
        <v>234620</v>
      </c>
      <c r="X151" s="97"/>
      <c r="Y151" s="14"/>
      <c r="Z151" s="12"/>
      <c r="AB151" s="12"/>
      <c r="AC151" s="12"/>
    </row>
    <row r="152" spans="1:29" ht="12.75" customHeight="1">
      <c r="A152" s="96">
        <f t="shared" si="28"/>
        <v>106</v>
      </c>
      <c r="B152" s="13" t="s">
        <v>165</v>
      </c>
      <c r="C152" s="97">
        <f t="shared" si="26"/>
        <v>190571</v>
      </c>
      <c r="D152" s="86">
        <f t="shared" si="27"/>
        <v>0</v>
      </c>
      <c r="E152" s="97"/>
      <c r="F152" s="97"/>
      <c r="G152" s="97"/>
      <c r="H152" s="97"/>
      <c r="I152" s="97"/>
      <c r="J152" s="96"/>
      <c r="K152" s="97"/>
      <c r="L152" s="1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86">
        <f>60742+48410+81419</f>
        <v>190571</v>
      </c>
      <c r="X152" s="97"/>
      <c r="Y152" s="14"/>
      <c r="Z152" s="12"/>
      <c r="AB152" s="12"/>
      <c r="AC152" s="12"/>
    </row>
    <row r="153" spans="1:29" ht="12.75" customHeight="1">
      <c r="A153" s="96">
        <f t="shared" si="28"/>
        <v>107</v>
      </c>
      <c r="B153" s="13" t="s">
        <v>166</v>
      </c>
      <c r="C153" s="97">
        <f t="shared" si="26"/>
        <v>144895</v>
      </c>
      <c r="D153" s="86">
        <f t="shared" si="27"/>
        <v>0</v>
      </c>
      <c r="E153" s="97"/>
      <c r="F153" s="97"/>
      <c r="G153" s="97"/>
      <c r="H153" s="97"/>
      <c r="I153" s="97"/>
      <c r="J153" s="96"/>
      <c r="K153" s="97"/>
      <c r="L153" s="1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>
        <f>75022+69873</f>
        <v>144895</v>
      </c>
      <c r="X153" s="97"/>
      <c r="Y153" s="14"/>
      <c r="Z153" s="12"/>
      <c r="AB153" s="12"/>
      <c r="AC153" s="12"/>
    </row>
    <row r="154" spans="1:29" ht="12.75" customHeight="1">
      <c r="A154" s="96">
        <f t="shared" si="28"/>
        <v>108</v>
      </c>
      <c r="B154" s="13" t="s">
        <v>167</v>
      </c>
      <c r="C154" s="97">
        <f t="shared" si="26"/>
        <v>75022</v>
      </c>
      <c r="D154" s="86">
        <f t="shared" si="27"/>
        <v>0</v>
      </c>
      <c r="E154" s="97"/>
      <c r="F154" s="97"/>
      <c r="G154" s="97"/>
      <c r="H154" s="97"/>
      <c r="I154" s="97"/>
      <c r="J154" s="96"/>
      <c r="K154" s="97"/>
      <c r="L154" s="1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>
        <v>75022</v>
      </c>
      <c r="X154" s="97"/>
      <c r="Y154" s="14"/>
      <c r="Z154" s="12"/>
      <c r="AB154" s="12"/>
      <c r="AC154" s="12"/>
    </row>
    <row r="155" spans="1:29" ht="12.75" customHeight="1">
      <c r="A155" s="96">
        <f t="shared" si="28"/>
        <v>109</v>
      </c>
      <c r="B155" s="13" t="s">
        <v>168</v>
      </c>
      <c r="C155" s="97">
        <f t="shared" si="26"/>
        <v>77927</v>
      </c>
      <c r="D155" s="86">
        <f t="shared" si="27"/>
        <v>0</v>
      </c>
      <c r="E155" s="97"/>
      <c r="F155" s="97"/>
      <c r="G155" s="97"/>
      <c r="H155" s="97"/>
      <c r="I155" s="97"/>
      <c r="J155" s="96"/>
      <c r="K155" s="97"/>
      <c r="L155" s="1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>
        <v>77927</v>
      </c>
      <c r="X155" s="97"/>
      <c r="Y155" s="14"/>
      <c r="Z155" s="12"/>
      <c r="AB155" s="12"/>
      <c r="AC155" s="12"/>
    </row>
    <row r="156" spans="1:29" ht="12.75" customHeight="1">
      <c r="A156" s="96">
        <f t="shared" si="28"/>
        <v>110</v>
      </c>
      <c r="B156" s="13" t="s">
        <v>169</v>
      </c>
      <c r="C156" s="97">
        <f t="shared" si="26"/>
        <v>79566</v>
      </c>
      <c r="D156" s="86">
        <f t="shared" si="27"/>
        <v>0</v>
      </c>
      <c r="E156" s="97"/>
      <c r="F156" s="97"/>
      <c r="G156" s="97"/>
      <c r="H156" s="97"/>
      <c r="I156" s="97"/>
      <c r="J156" s="96"/>
      <c r="K156" s="97"/>
      <c r="L156" s="1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>
        <v>79566</v>
      </c>
      <c r="X156" s="97"/>
      <c r="Y156" s="14"/>
      <c r="Z156" s="12"/>
      <c r="AB156" s="12"/>
      <c r="AC156" s="12"/>
    </row>
    <row r="157" spans="1:29" ht="12.75" customHeight="1">
      <c r="A157" s="96">
        <f t="shared" si="28"/>
        <v>111</v>
      </c>
      <c r="B157" s="13" t="s">
        <v>170</v>
      </c>
      <c r="C157" s="97">
        <f t="shared" si="26"/>
        <v>77177</v>
      </c>
      <c r="D157" s="86">
        <f t="shared" si="27"/>
        <v>0</v>
      </c>
      <c r="E157" s="97"/>
      <c r="F157" s="97"/>
      <c r="G157" s="97"/>
      <c r="H157" s="97"/>
      <c r="I157" s="97"/>
      <c r="J157" s="96"/>
      <c r="K157" s="97"/>
      <c r="L157" s="1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>
        <v>77177</v>
      </c>
      <c r="X157" s="97"/>
      <c r="Y157" s="14"/>
      <c r="Z157" s="12"/>
      <c r="AB157" s="12"/>
      <c r="AC157" s="12"/>
    </row>
    <row r="158" spans="1:29" ht="12.75" customHeight="1">
      <c r="A158" s="96">
        <f t="shared" si="28"/>
        <v>112</v>
      </c>
      <c r="B158" s="13" t="s">
        <v>171</v>
      </c>
      <c r="C158" s="97">
        <f t="shared" si="26"/>
        <v>1485606</v>
      </c>
      <c r="D158" s="86">
        <f t="shared" si="27"/>
        <v>0</v>
      </c>
      <c r="E158" s="97"/>
      <c r="F158" s="97"/>
      <c r="G158" s="97"/>
      <c r="H158" s="97"/>
      <c r="I158" s="97"/>
      <c r="J158" s="96"/>
      <c r="K158" s="97"/>
      <c r="L158" s="17">
        <v>448</v>
      </c>
      <c r="M158" s="97">
        <v>1392735</v>
      </c>
      <c r="N158" s="97"/>
      <c r="O158" s="97"/>
      <c r="P158" s="97"/>
      <c r="Q158" s="97"/>
      <c r="R158" s="97"/>
      <c r="S158" s="97"/>
      <c r="T158" s="97"/>
      <c r="U158" s="97"/>
      <c r="V158" s="97"/>
      <c r="W158" s="97">
        <v>92871</v>
      </c>
      <c r="X158" s="97"/>
      <c r="Y158" s="14"/>
      <c r="Z158" s="12"/>
      <c r="AB158" s="12"/>
      <c r="AC158" s="12"/>
    </row>
    <row r="159" spans="1:29" ht="12.75" customHeight="1">
      <c r="A159" s="96">
        <f t="shared" si="28"/>
        <v>113</v>
      </c>
      <c r="B159" s="13" t="s">
        <v>172</v>
      </c>
      <c r="C159" s="97">
        <f t="shared" si="26"/>
        <v>1474567</v>
      </c>
      <c r="D159" s="86">
        <f t="shared" si="27"/>
        <v>0</v>
      </c>
      <c r="E159" s="97"/>
      <c r="F159" s="97"/>
      <c r="G159" s="97"/>
      <c r="H159" s="97"/>
      <c r="I159" s="97"/>
      <c r="J159" s="96"/>
      <c r="K159" s="97"/>
      <c r="L159" s="17">
        <v>495</v>
      </c>
      <c r="M159" s="97">
        <v>1392735</v>
      </c>
      <c r="N159" s="97"/>
      <c r="O159" s="97"/>
      <c r="P159" s="97"/>
      <c r="Q159" s="97"/>
      <c r="R159" s="97"/>
      <c r="S159" s="97"/>
      <c r="T159" s="97"/>
      <c r="U159" s="97"/>
      <c r="V159" s="97"/>
      <c r="W159" s="97">
        <v>81832</v>
      </c>
      <c r="X159" s="97"/>
      <c r="Y159" s="14"/>
      <c r="Z159" s="12"/>
      <c r="AB159" s="12"/>
      <c r="AC159" s="12"/>
    </row>
    <row r="160" spans="1:29" ht="12.75" customHeight="1">
      <c r="A160" s="96">
        <f t="shared" si="28"/>
        <v>114</v>
      </c>
      <c r="B160" s="13" t="s">
        <v>173</v>
      </c>
      <c r="C160" s="97">
        <f t="shared" si="26"/>
        <v>274025</v>
      </c>
      <c r="D160" s="86">
        <f t="shared" si="27"/>
        <v>0</v>
      </c>
      <c r="E160" s="97"/>
      <c r="F160" s="97"/>
      <c r="G160" s="97"/>
      <c r="H160" s="97"/>
      <c r="I160" s="97"/>
      <c r="J160" s="96"/>
      <c r="K160" s="97"/>
      <c r="L160" s="1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86">
        <f>77463+77486+119076</f>
        <v>274025</v>
      </c>
      <c r="X160" s="97"/>
      <c r="Y160" s="14"/>
      <c r="Z160" s="12"/>
      <c r="AB160" s="12"/>
      <c r="AC160" s="12"/>
    </row>
    <row r="161" spans="1:29" ht="12.75" customHeight="1">
      <c r="A161" s="96">
        <f t="shared" si="28"/>
        <v>115</v>
      </c>
      <c r="B161" s="13" t="s">
        <v>174</v>
      </c>
      <c r="C161" s="97">
        <f t="shared" si="26"/>
        <v>1965487</v>
      </c>
      <c r="D161" s="86">
        <f t="shared" si="27"/>
        <v>0</v>
      </c>
      <c r="E161" s="97"/>
      <c r="F161" s="97"/>
      <c r="G161" s="97"/>
      <c r="H161" s="97"/>
      <c r="I161" s="97"/>
      <c r="J161" s="96"/>
      <c r="K161" s="97"/>
      <c r="L161" s="17">
        <v>394</v>
      </c>
      <c r="M161" s="97">
        <v>1716781</v>
      </c>
      <c r="N161" s="97"/>
      <c r="O161" s="97"/>
      <c r="P161" s="97"/>
      <c r="Q161" s="97"/>
      <c r="R161" s="97"/>
      <c r="S161" s="97"/>
      <c r="T161" s="97"/>
      <c r="U161" s="97"/>
      <c r="V161" s="97"/>
      <c r="W161" s="97">
        <f>146138+102568</f>
        <v>248706</v>
      </c>
      <c r="X161" s="97"/>
      <c r="Y161" s="14"/>
      <c r="Z161" s="12"/>
      <c r="AB161" s="12"/>
      <c r="AC161" s="12"/>
    </row>
    <row r="162" spans="1:29" ht="12.75" customHeight="1">
      <c r="A162" s="96">
        <f t="shared" si="28"/>
        <v>116</v>
      </c>
      <c r="B162" s="13" t="s">
        <v>175</v>
      </c>
      <c r="C162" s="97">
        <f aca="true" t="shared" si="29" ref="C162:C170">D162+K162+M162+O162+Q162+S162+U162+V162+W162+X162</f>
        <v>87577</v>
      </c>
      <c r="D162" s="86">
        <f aca="true" t="shared" si="30" ref="D162:D170">E162+F162+G162+H162+I162</f>
        <v>0</v>
      </c>
      <c r="E162" s="97"/>
      <c r="F162" s="97"/>
      <c r="G162" s="97"/>
      <c r="H162" s="97"/>
      <c r="I162" s="97"/>
      <c r="J162" s="96"/>
      <c r="K162" s="97"/>
      <c r="L162" s="1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86">
        <v>87577</v>
      </c>
      <c r="X162" s="97"/>
      <c r="Y162" s="14"/>
      <c r="Z162" s="12"/>
      <c r="AB162" s="12"/>
      <c r="AC162" s="12"/>
    </row>
    <row r="163" spans="1:29" ht="12.75" customHeight="1">
      <c r="A163" s="96">
        <f t="shared" si="28"/>
        <v>117</v>
      </c>
      <c r="B163" s="13" t="s">
        <v>176</v>
      </c>
      <c r="C163" s="97">
        <f t="shared" si="29"/>
        <v>174764</v>
      </c>
      <c r="D163" s="86">
        <f t="shared" si="30"/>
        <v>0</v>
      </c>
      <c r="E163" s="97"/>
      <c r="F163" s="97"/>
      <c r="G163" s="97"/>
      <c r="H163" s="97"/>
      <c r="I163" s="97"/>
      <c r="J163" s="96"/>
      <c r="K163" s="97"/>
      <c r="L163" s="1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>
        <f>99977+74787</f>
        <v>174764</v>
      </c>
      <c r="X163" s="97"/>
      <c r="Y163" s="14"/>
      <c r="Z163" s="12"/>
      <c r="AB163" s="12"/>
      <c r="AC163" s="12"/>
    </row>
    <row r="164" spans="1:29" ht="12.75" customHeight="1">
      <c r="A164" s="96">
        <f aca="true" t="shared" si="31" ref="A164:A170">A163+1</f>
        <v>118</v>
      </c>
      <c r="B164" s="13" t="s">
        <v>177</v>
      </c>
      <c r="C164" s="97">
        <f t="shared" si="29"/>
        <v>94218</v>
      </c>
      <c r="D164" s="86">
        <f t="shared" si="30"/>
        <v>0</v>
      </c>
      <c r="E164" s="97"/>
      <c r="F164" s="97"/>
      <c r="G164" s="97"/>
      <c r="H164" s="97"/>
      <c r="I164" s="97"/>
      <c r="J164" s="96"/>
      <c r="K164" s="97"/>
      <c r="L164" s="1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>
        <v>94218</v>
      </c>
      <c r="X164" s="97"/>
      <c r="Y164" s="14"/>
      <c r="Z164" s="12"/>
      <c r="AB164" s="12"/>
      <c r="AC164" s="12"/>
    </row>
    <row r="165" spans="1:29" ht="12.75" customHeight="1">
      <c r="A165" s="96">
        <f t="shared" si="31"/>
        <v>119</v>
      </c>
      <c r="B165" s="13" t="s">
        <v>178</v>
      </c>
      <c r="C165" s="97">
        <f t="shared" si="29"/>
        <v>95285</v>
      </c>
      <c r="D165" s="86">
        <f t="shared" si="30"/>
        <v>0</v>
      </c>
      <c r="E165" s="97"/>
      <c r="F165" s="97"/>
      <c r="G165" s="97"/>
      <c r="H165" s="97"/>
      <c r="I165" s="97"/>
      <c r="J165" s="96"/>
      <c r="K165" s="97"/>
      <c r="L165" s="1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>
        <v>95285</v>
      </c>
      <c r="X165" s="97"/>
      <c r="Y165" s="14"/>
      <c r="Z165" s="12"/>
      <c r="AB165" s="12"/>
      <c r="AC165" s="12"/>
    </row>
    <row r="166" spans="1:29" ht="12.75" customHeight="1">
      <c r="A166" s="96">
        <f t="shared" si="31"/>
        <v>120</v>
      </c>
      <c r="B166" s="13" t="s">
        <v>179</v>
      </c>
      <c r="C166" s="97">
        <f t="shared" si="29"/>
        <v>85245</v>
      </c>
      <c r="D166" s="86">
        <f t="shared" si="30"/>
        <v>0</v>
      </c>
      <c r="E166" s="97"/>
      <c r="F166" s="97"/>
      <c r="G166" s="97"/>
      <c r="H166" s="97"/>
      <c r="I166" s="97"/>
      <c r="J166" s="96"/>
      <c r="K166" s="97"/>
      <c r="L166" s="1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>
        <v>85245</v>
      </c>
      <c r="X166" s="97"/>
      <c r="Y166" s="14"/>
      <c r="Z166" s="12"/>
      <c r="AB166" s="12"/>
      <c r="AC166" s="12"/>
    </row>
    <row r="167" spans="1:29" ht="12.75" customHeight="1">
      <c r="A167" s="96">
        <f t="shared" si="31"/>
        <v>121</v>
      </c>
      <c r="B167" s="13" t="s">
        <v>180</v>
      </c>
      <c r="C167" s="97">
        <f t="shared" si="29"/>
        <v>259854</v>
      </c>
      <c r="D167" s="86">
        <f t="shared" si="30"/>
        <v>0</v>
      </c>
      <c r="E167" s="97"/>
      <c r="F167" s="97"/>
      <c r="G167" s="97"/>
      <c r="H167" s="97"/>
      <c r="I167" s="97"/>
      <c r="J167" s="96"/>
      <c r="K167" s="97"/>
      <c r="L167" s="1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86">
        <f>130509+67803+61542</f>
        <v>259854</v>
      </c>
      <c r="X167" s="97"/>
      <c r="Y167" s="14"/>
      <c r="Z167" s="12"/>
      <c r="AB167" s="12"/>
      <c r="AC167" s="12"/>
    </row>
    <row r="168" spans="1:29" ht="12.75" customHeight="1">
      <c r="A168" s="96">
        <f t="shared" si="31"/>
        <v>122</v>
      </c>
      <c r="B168" s="13" t="s">
        <v>181</v>
      </c>
      <c r="C168" s="97">
        <f t="shared" si="29"/>
        <v>112434</v>
      </c>
      <c r="D168" s="86">
        <f t="shared" si="30"/>
        <v>0</v>
      </c>
      <c r="E168" s="97"/>
      <c r="F168" s="97"/>
      <c r="G168" s="97"/>
      <c r="H168" s="97"/>
      <c r="I168" s="97"/>
      <c r="J168" s="96"/>
      <c r="K168" s="97"/>
      <c r="L168" s="1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>
        <v>112434</v>
      </c>
      <c r="X168" s="97"/>
      <c r="Y168" s="14"/>
      <c r="Z168" s="12"/>
      <c r="AB168" s="12"/>
      <c r="AC168" s="12"/>
    </row>
    <row r="169" spans="1:29" ht="12.75" customHeight="1">
      <c r="A169" s="96">
        <f t="shared" si="31"/>
        <v>123</v>
      </c>
      <c r="B169" s="13" t="s">
        <v>182</v>
      </c>
      <c r="C169" s="97">
        <f t="shared" si="29"/>
        <v>208345</v>
      </c>
      <c r="D169" s="86">
        <f t="shared" si="30"/>
        <v>0</v>
      </c>
      <c r="E169" s="97"/>
      <c r="F169" s="97"/>
      <c r="G169" s="97"/>
      <c r="H169" s="97"/>
      <c r="I169" s="97"/>
      <c r="J169" s="96"/>
      <c r="K169" s="97"/>
      <c r="L169" s="1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86">
        <f>72562+70391+65392</f>
        <v>208345</v>
      </c>
      <c r="X169" s="97"/>
      <c r="Y169" s="14"/>
      <c r="Z169" s="12"/>
      <c r="AB169" s="12"/>
      <c r="AC169" s="12"/>
    </row>
    <row r="170" spans="1:29" ht="12.75" customHeight="1">
      <c r="A170" s="96">
        <f t="shared" si="31"/>
        <v>124</v>
      </c>
      <c r="B170" s="13" t="s">
        <v>183</v>
      </c>
      <c r="C170" s="97">
        <f t="shared" si="29"/>
        <v>216430</v>
      </c>
      <c r="D170" s="86">
        <f t="shared" si="30"/>
        <v>0</v>
      </c>
      <c r="E170" s="97"/>
      <c r="F170" s="97"/>
      <c r="G170" s="97"/>
      <c r="H170" s="97"/>
      <c r="I170" s="97"/>
      <c r="J170" s="96"/>
      <c r="K170" s="97"/>
      <c r="L170" s="1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86">
        <f>74281+73588+68561</f>
        <v>216430</v>
      </c>
      <c r="X170" s="97"/>
      <c r="Y170" s="14"/>
      <c r="Z170" s="12"/>
      <c r="AB170" s="12"/>
      <c r="AC170" s="12"/>
    </row>
    <row r="171" spans="1:29" ht="12.75" customHeight="1">
      <c r="A171" s="103" t="s">
        <v>597</v>
      </c>
      <c r="B171" s="104"/>
      <c r="C171" s="97">
        <f aca="true" t="shared" si="32" ref="C171:X171">SUM(C98:C170)</f>
        <v>17619632</v>
      </c>
      <c r="D171" s="97">
        <f t="shared" si="32"/>
        <v>0</v>
      </c>
      <c r="E171" s="97">
        <f t="shared" si="32"/>
        <v>0</v>
      </c>
      <c r="F171" s="97">
        <f t="shared" si="32"/>
        <v>0</v>
      </c>
      <c r="G171" s="97">
        <f t="shared" si="32"/>
        <v>0</v>
      </c>
      <c r="H171" s="97">
        <f t="shared" si="32"/>
        <v>0</v>
      </c>
      <c r="I171" s="97">
        <f t="shared" si="32"/>
        <v>0</v>
      </c>
      <c r="J171" s="97">
        <f t="shared" si="32"/>
        <v>0</v>
      </c>
      <c r="K171" s="97">
        <f t="shared" si="32"/>
        <v>0</v>
      </c>
      <c r="L171" s="97">
        <f t="shared" si="32"/>
        <v>1787</v>
      </c>
      <c r="M171" s="97">
        <f t="shared" si="32"/>
        <v>6703138</v>
      </c>
      <c r="N171" s="97">
        <f t="shared" si="32"/>
        <v>0</v>
      </c>
      <c r="O171" s="97">
        <f t="shared" si="32"/>
        <v>0</v>
      </c>
      <c r="P171" s="97">
        <f t="shared" si="32"/>
        <v>0</v>
      </c>
      <c r="Q171" s="97">
        <f t="shared" si="32"/>
        <v>0</v>
      </c>
      <c r="R171" s="97">
        <f t="shared" si="32"/>
        <v>0</v>
      </c>
      <c r="S171" s="97">
        <f t="shared" si="32"/>
        <v>0</v>
      </c>
      <c r="T171" s="97">
        <f t="shared" si="32"/>
        <v>0</v>
      </c>
      <c r="U171" s="97">
        <f t="shared" si="32"/>
        <v>0</v>
      </c>
      <c r="V171" s="97">
        <f t="shared" si="32"/>
        <v>0</v>
      </c>
      <c r="W171" s="97">
        <f t="shared" si="32"/>
        <v>10916494</v>
      </c>
      <c r="X171" s="97">
        <f t="shared" si="32"/>
        <v>0</v>
      </c>
      <c r="Y171" s="14"/>
      <c r="Z171" s="12"/>
      <c r="AA171" s="12"/>
      <c r="AB171" s="12"/>
      <c r="AC171" s="12"/>
    </row>
    <row r="172" spans="1:29" ht="12.75" customHeight="1">
      <c r="A172" s="105" t="s">
        <v>679</v>
      </c>
      <c r="B172" s="110"/>
      <c r="C172" s="106"/>
      <c r="D172" s="107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9"/>
      <c r="Y172" s="14"/>
      <c r="Z172" s="12"/>
      <c r="AB172" s="12"/>
      <c r="AC172" s="12"/>
    </row>
    <row r="173" spans="1:29" ht="12.75">
      <c r="A173" s="96">
        <f>A170+1</f>
        <v>125</v>
      </c>
      <c r="B173" s="49" t="s">
        <v>814</v>
      </c>
      <c r="C173" s="97">
        <f>D173+K173+M173+O173+Q173+S173+U173+V173+W173+X173</f>
        <v>304480</v>
      </c>
      <c r="D173" s="86">
        <f>E173+F173+G173+H173+I173</f>
        <v>0</v>
      </c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86">
        <f>93760+105360+105360</f>
        <v>304480</v>
      </c>
      <c r="X173" s="86"/>
      <c r="Y173" s="14"/>
      <c r="Z173" s="12"/>
      <c r="AA173" s="12"/>
      <c r="AB173" s="12"/>
      <c r="AC173" s="12"/>
    </row>
    <row r="174" spans="1:29" ht="12.75">
      <c r="A174" s="96">
        <f>A173+1</f>
        <v>126</v>
      </c>
      <c r="B174" s="13" t="s">
        <v>193</v>
      </c>
      <c r="C174" s="97">
        <f aca="true" t="shared" si="33" ref="C174:C181">D174+K174+M174+O174+Q174+S174+U174+V174+W174+X174</f>
        <v>302185</v>
      </c>
      <c r="D174" s="86">
        <f aca="true" t="shared" si="34" ref="D174:D181">E174+F174+G174+H174+I174</f>
        <v>0</v>
      </c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86">
        <f>105239+105239+91707</f>
        <v>302185</v>
      </c>
      <c r="X174" s="86"/>
      <c r="Y174" s="14"/>
      <c r="Z174" s="12"/>
      <c r="AA174" s="12"/>
      <c r="AB174" s="12"/>
      <c r="AC174" s="12"/>
    </row>
    <row r="175" spans="1:29" ht="12.75">
      <c r="A175" s="96">
        <f aca="true" t="shared" si="35" ref="A175:A181">A174+1</f>
        <v>127</v>
      </c>
      <c r="B175" s="13" t="s">
        <v>186</v>
      </c>
      <c r="C175" s="97">
        <f t="shared" si="33"/>
        <v>251237</v>
      </c>
      <c r="D175" s="86">
        <f t="shared" si="34"/>
        <v>0</v>
      </c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86">
        <v>251237</v>
      </c>
      <c r="X175" s="86"/>
      <c r="Y175" s="14"/>
      <c r="Z175" s="12"/>
      <c r="AA175" s="12"/>
      <c r="AB175" s="12"/>
      <c r="AC175" s="12"/>
    </row>
    <row r="176" spans="1:29" ht="12.75">
      <c r="A176" s="96">
        <f t="shared" si="35"/>
        <v>128</v>
      </c>
      <c r="B176" s="13" t="s">
        <v>187</v>
      </c>
      <c r="C176" s="97">
        <f t="shared" si="33"/>
        <v>208327</v>
      </c>
      <c r="D176" s="86">
        <f t="shared" si="34"/>
        <v>0</v>
      </c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86">
        <v>208327</v>
      </c>
      <c r="X176" s="86"/>
      <c r="Y176" s="14"/>
      <c r="Z176" s="12"/>
      <c r="AA176" s="12"/>
      <c r="AB176" s="12"/>
      <c r="AC176" s="12"/>
    </row>
    <row r="177" spans="1:29" ht="15" customHeight="1">
      <c r="A177" s="96">
        <f t="shared" si="35"/>
        <v>129</v>
      </c>
      <c r="B177" s="13" t="s">
        <v>189</v>
      </c>
      <c r="C177" s="97">
        <f t="shared" si="33"/>
        <v>3587945</v>
      </c>
      <c r="D177" s="86">
        <f t="shared" si="34"/>
        <v>0</v>
      </c>
      <c r="E177" s="97"/>
      <c r="F177" s="97"/>
      <c r="G177" s="97"/>
      <c r="H177" s="97"/>
      <c r="I177" s="97"/>
      <c r="J177" s="97"/>
      <c r="K177" s="97"/>
      <c r="L177" s="97">
        <v>610</v>
      </c>
      <c r="M177" s="97">
        <v>3273278</v>
      </c>
      <c r="N177" s="97"/>
      <c r="O177" s="97"/>
      <c r="P177" s="97"/>
      <c r="Q177" s="97"/>
      <c r="R177" s="97"/>
      <c r="S177" s="97"/>
      <c r="T177" s="97"/>
      <c r="U177" s="97"/>
      <c r="V177" s="97"/>
      <c r="W177" s="97">
        <f>108793+97081+108793</f>
        <v>314667</v>
      </c>
      <c r="X177" s="86"/>
      <c r="Y177" s="14"/>
      <c r="Z177" s="12"/>
      <c r="AA177" s="12"/>
      <c r="AB177" s="12"/>
      <c r="AC177" s="12"/>
    </row>
    <row r="178" spans="1:29" ht="15" customHeight="1">
      <c r="A178" s="96">
        <f t="shared" si="35"/>
        <v>130</v>
      </c>
      <c r="B178" s="13" t="s">
        <v>190</v>
      </c>
      <c r="C178" s="97">
        <f t="shared" si="33"/>
        <v>4512009</v>
      </c>
      <c r="D178" s="86">
        <f t="shared" si="34"/>
        <v>0</v>
      </c>
      <c r="E178" s="97"/>
      <c r="F178" s="97"/>
      <c r="G178" s="97"/>
      <c r="H178" s="97"/>
      <c r="I178" s="97"/>
      <c r="J178" s="97"/>
      <c r="K178" s="97"/>
      <c r="L178" s="97">
        <v>798</v>
      </c>
      <c r="M178" s="97">
        <v>4200320</v>
      </c>
      <c r="N178" s="97"/>
      <c r="O178" s="97"/>
      <c r="P178" s="97"/>
      <c r="Q178" s="97"/>
      <c r="R178" s="97"/>
      <c r="S178" s="97"/>
      <c r="T178" s="97"/>
      <c r="U178" s="97"/>
      <c r="V178" s="97"/>
      <c r="W178" s="97">
        <f>107996+95697+107996</f>
        <v>311689</v>
      </c>
      <c r="X178" s="86"/>
      <c r="Y178" s="14"/>
      <c r="Z178" s="12"/>
      <c r="AA178" s="12"/>
      <c r="AB178" s="12"/>
      <c r="AC178" s="12"/>
    </row>
    <row r="179" spans="1:29" ht="15" customHeight="1">
      <c r="A179" s="96">
        <f t="shared" si="35"/>
        <v>131</v>
      </c>
      <c r="B179" s="13" t="s">
        <v>191</v>
      </c>
      <c r="C179" s="97">
        <f t="shared" si="33"/>
        <v>316056</v>
      </c>
      <c r="D179" s="86">
        <f t="shared" si="34"/>
        <v>0</v>
      </c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>
        <f>109261+97534+109261</f>
        <v>316056</v>
      </c>
      <c r="X179" s="86"/>
      <c r="Y179" s="14"/>
      <c r="Z179" s="12"/>
      <c r="AA179" s="12"/>
      <c r="AB179" s="12"/>
      <c r="AC179" s="12"/>
    </row>
    <row r="180" spans="1:29" ht="12.75">
      <c r="A180" s="96">
        <f t="shared" si="35"/>
        <v>132</v>
      </c>
      <c r="B180" s="13" t="s">
        <v>188</v>
      </c>
      <c r="C180" s="97">
        <f t="shared" si="33"/>
        <v>201159</v>
      </c>
      <c r="D180" s="86">
        <f t="shared" si="34"/>
        <v>0</v>
      </c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86">
        <v>201159</v>
      </c>
      <c r="X180" s="86"/>
      <c r="Y180" s="14"/>
      <c r="Z180" s="12"/>
      <c r="AA180" s="12"/>
      <c r="AB180" s="12"/>
      <c r="AC180" s="12"/>
    </row>
    <row r="181" spans="1:29" ht="12" customHeight="1">
      <c r="A181" s="96">
        <f t="shared" si="35"/>
        <v>133</v>
      </c>
      <c r="B181" s="13" t="s">
        <v>192</v>
      </c>
      <c r="C181" s="97">
        <f t="shared" si="33"/>
        <v>346060</v>
      </c>
      <c r="D181" s="86">
        <f t="shared" si="34"/>
        <v>0</v>
      </c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>
        <f>119371+107318+119371</f>
        <v>346060</v>
      </c>
      <c r="X181" s="86"/>
      <c r="Y181" s="14"/>
      <c r="Z181" s="12"/>
      <c r="AA181" s="12"/>
      <c r="AB181" s="12"/>
      <c r="AC181" s="12"/>
    </row>
    <row r="182" spans="1:29" ht="12.75">
      <c r="A182" s="103" t="s">
        <v>597</v>
      </c>
      <c r="B182" s="104"/>
      <c r="C182" s="97">
        <f>SUM(C173:C181)</f>
        <v>10029458</v>
      </c>
      <c r="D182" s="97">
        <f aca="true" t="shared" si="36" ref="D182:X182">SUM(D173:D181)</f>
        <v>0</v>
      </c>
      <c r="E182" s="97">
        <f t="shared" si="36"/>
        <v>0</v>
      </c>
      <c r="F182" s="97">
        <f t="shared" si="36"/>
        <v>0</v>
      </c>
      <c r="G182" s="97">
        <f t="shared" si="36"/>
        <v>0</v>
      </c>
      <c r="H182" s="97">
        <f t="shared" si="36"/>
        <v>0</v>
      </c>
      <c r="I182" s="97">
        <f t="shared" si="36"/>
        <v>0</v>
      </c>
      <c r="J182" s="97">
        <f t="shared" si="36"/>
        <v>0</v>
      </c>
      <c r="K182" s="97">
        <f t="shared" si="36"/>
        <v>0</v>
      </c>
      <c r="L182" s="97">
        <f t="shared" si="36"/>
        <v>1408</v>
      </c>
      <c r="M182" s="97">
        <f t="shared" si="36"/>
        <v>7473598</v>
      </c>
      <c r="N182" s="97">
        <f t="shared" si="36"/>
        <v>0</v>
      </c>
      <c r="O182" s="97">
        <f t="shared" si="36"/>
        <v>0</v>
      </c>
      <c r="P182" s="97">
        <f t="shared" si="36"/>
        <v>0</v>
      </c>
      <c r="Q182" s="97">
        <f t="shared" si="36"/>
        <v>0</v>
      </c>
      <c r="R182" s="97">
        <f t="shared" si="36"/>
        <v>0</v>
      </c>
      <c r="S182" s="97">
        <f t="shared" si="36"/>
        <v>0</v>
      </c>
      <c r="T182" s="97">
        <f t="shared" si="36"/>
        <v>0</v>
      </c>
      <c r="U182" s="97">
        <f t="shared" si="36"/>
        <v>0</v>
      </c>
      <c r="V182" s="97">
        <f t="shared" si="36"/>
        <v>0</v>
      </c>
      <c r="W182" s="97">
        <f t="shared" si="36"/>
        <v>2555860</v>
      </c>
      <c r="X182" s="97">
        <f t="shared" si="36"/>
        <v>0</v>
      </c>
      <c r="Y182" s="14"/>
      <c r="Z182" s="12"/>
      <c r="AA182" s="12"/>
      <c r="AB182" s="12"/>
      <c r="AC182" s="12"/>
    </row>
    <row r="183" spans="1:29" ht="12.75" customHeight="1">
      <c r="A183" s="124" t="s">
        <v>611</v>
      </c>
      <c r="B183" s="125"/>
      <c r="C183" s="126"/>
      <c r="D183" s="107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9"/>
      <c r="Y183" s="14"/>
      <c r="Z183" s="12"/>
      <c r="AB183" s="12"/>
      <c r="AC183" s="12"/>
    </row>
    <row r="184" spans="1:29" ht="12" customHeight="1">
      <c r="A184" s="96">
        <f>A181+1</f>
        <v>134</v>
      </c>
      <c r="B184" s="13" t="s">
        <v>1</v>
      </c>
      <c r="C184" s="97">
        <f>D184+K184+M184+O184+Q184+S184+U184+V184+W184+X184</f>
        <v>3147201</v>
      </c>
      <c r="D184" s="86">
        <f>E184+F184+G184+H184+I184</f>
        <v>0</v>
      </c>
      <c r="E184" s="97"/>
      <c r="F184" s="97"/>
      <c r="G184" s="97"/>
      <c r="H184" s="97"/>
      <c r="I184" s="97"/>
      <c r="J184" s="97"/>
      <c r="K184" s="97"/>
      <c r="L184" s="17">
        <v>762</v>
      </c>
      <c r="M184" s="97">
        <v>3147201</v>
      </c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14"/>
      <c r="Z184" s="12"/>
      <c r="AB184" s="12"/>
      <c r="AC184" s="12"/>
    </row>
    <row r="185" spans="1:29" ht="12.75" customHeight="1">
      <c r="A185" s="103" t="s">
        <v>597</v>
      </c>
      <c r="B185" s="104"/>
      <c r="C185" s="97">
        <f>SUM(C184)</f>
        <v>3147201</v>
      </c>
      <c r="D185" s="97">
        <f aca="true" t="shared" si="37" ref="D185:X185">SUM(D184)</f>
        <v>0</v>
      </c>
      <c r="E185" s="97">
        <f t="shared" si="37"/>
        <v>0</v>
      </c>
      <c r="F185" s="97">
        <f t="shared" si="37"/>
        <v>0</v>
      </c>
      <c r="G185" s="97">
        <f t="shared" si="37"/>
        <v>0</v>
      </c>
      <c r="H185" s="97">
        <f t="shared" si="37"/>
        <v>0</v>
      </c>
      <c r="I185" s="97">
        <f t="shared" si="37"/>
        <v>0</v>
      </c>
      <c r="J185" s="97">
        <f t="shared" si="37"/>
        <v>0</v>
      </c>
      <c r="K185" s="97">
        <f t="shared" si="37"/>
        <v>0</v>
      </c>
      <c r="L185" s="97">
        <f t="shared" si="37"/>
        <v>762</v>
      </c>
      <c r="M185" s="97">
        <f t="shared" si="37"/>
        <v>3147201</v>
      </c>
      <c r="N185" s="97">
        <f t="shared" si="37"/>
        <v>0</v>
      </c>
      <c r="O185" s="97">
        <f t="shared" si="37"/>
        <v>0</v>
      </c>
      <c r="P185" s="97">
        <f t="shared" si="37"/>
        <v>0</v>
      </c>
      <c r="Q185" s="97">
        <f t="shared" si="37"/>
        <v>0</v>
      </c>
      <c r="R185" s="97">
        <f t="shared" si="37"/>
        <v>0</v>
      </c>
      <c r="S185" s="97">
        <f t="shared" si="37"/>
        <v>0</v>
      </c>
      <c r="T185" s="97">
        <f t="shared" si="37"/>
        <v>0</v>
      </c>
      <c r="U185" s="97">
        <f t="shared" si="37"/>
        <v>0</v>
      </c>
      <c r="V185" s="97">
        <f t="shared" si="37"/>
        <v>0</v>
      </c>
      <c r="W185" s="97">
        <f t="shared" si="37"/>
        <v>0</v>
      </c>
      <c r="X185" s="97">
        <f t="shared" si="37"/>
        <v>0</v>
      </c>
      <c r="Y185" s="14"/>
      <c r="Z185" s="12"/>
      <c r="AA185" s="12"/>
      <c r="AB185" s="12"/>
      <c r="AC185" s="12"/>
    </row>
    <row r="186" spans="1:29" ht="12.75">
      <c r="A186" s="105" t="s">
        <v>612</v>
      </c>
      <c r="B186" s="106"/>
      <c r="C186" s="83">
        <f aca="true" t="shared" si="38" ref="C186:X186">C171+C182+C96+C91+C82+C86+C185</f>
        <v>61325058</v>
      </c>
      <c r="D186" s="83">
        <f t="shared" si="38"/>
        <v>8132452</v>
      </c>
      <c r="E186" s="83">
        <f t="shared" si="38"/>
        <v>0</v>
      </c>
      <c r="F186" s="83">
        <f t="shared" si="38"/>
        <v>8132452</v>
      </c>
      <c r="G186" s="83">
        <f t="shared" si="38"/>
        <v>0</v>
      </c>
      <c r="H186" s="83">
        <f t="shared" si="38"/>
        <v>0</v>
      </c>
      <c r="I186" s="83">
        <f t="shared" si="38"/>
        <v>0</v>
      </c>
      <c r="J186" s="83">
        <f t="shared" si="38"/>
        <v>0</v>
      </c>
      <c r="K186" s="83">
        <f t="shared" si="38"/>
        <v>0</v>
      </c>
      <c r="L186" s="83">
        <f t="shared" si="38"/>
        <v>10237</v>
      </c>
      <c r="M186" s="83">
        <f t="shared" si="38"/>
        <v>33285129</v>
      </c>
      <c r="N186" s="83">
        <f t="shared" si="38"/>
        <v>0</v>
      </c>
      <c r="O186" s="83">
        <f t="shared" si="38"/>
        <v>0</v>
      </c>
      <c r="P186" s="83">
        <f t="shared" si="38"/>
        <v>3182</v>
      </c>
      <c r="Q186" s="83">
        <f t="shared" si="38"/>
        <v>5053136</v>
      </c>
      <c r="R186" s="83">
        <f t="shared" si="38"/>
        <v>0</v>
      </c>
      <c r="S186" s="83">
        <f t="shared" si="38"/>
        <v>0</v>
      </c>
      <c r="T186" s="83">
        <f t="shared" si="38"/>
        <v>0</v>
      </c>
      <c r="U186" s="83">
        <f t="shared" si="38"/>
        <v>0</v>
      </c>
      <c r="V186" s="83">
        <f t="shared" si="38"/>
        <v>0</v>
      </c>
      <c r="W186" s="83">
        <f t="shared" si="38"/>
        <v>14854341</v>
      </c>
      <c r="X186" s="83">
        <f t="shared" si="38"/>
        <v>0</v>
      </c>
      <c r="Y186" s="14"/>
      <c r="Z186" s="12"/>
      <c r="AA186" s="12"/>
      <c r="AB186" s="12"/>
      <c r="AC186" s="12"/>
    </row>
    <row r="187" spans="1:29" ht="12.75" customHeight="1">
      <c r="A187" s="133" t="s">
        <v>613</v>
      </c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4"/>
      <c r="Z187" s="12"/>
      <c r="AA187" s="11"/>
      <c r="AB187" s="12"/>
      <c r="AC187" s="12"/>
    </row>
    <row r="188" spans="1:29" s="253" customFormat="1" ht="15" customHeight="1">
      <c r="A188" s="140" t="s">
        <v>712</v>
      </c>
      <c r="B188" s="140"/>
      <c r="C188" s="140"/>
      <c r="D188" s="140"/>
      <c r="E188" s="140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250"/>
      <c r="Y188" s="251"/>
      <c r="Z188" s="252"/>
      <c r="AA188" s="252"/>
      <c r="AB188" s="12"/>
      <c r="AC188" s="12"/>
    </row>
    <row r="189" spans="1:29" s="253" customFormat="1" ht="12.75">
      <c r="A189" s="10">
        <f>A184+1</f>
        <v>135</v>
      </c>
      <c r="B189" s="89" t="s">
        <v>713</v>
      </c>
      <c r="C189" s="97">
        <f>D189+K189+M189+O189+Q189+S189+U189+V189+W189</f>
        <v>744509</v>
      </c>
      <c r="D189" s="97">
        <f>E189+F189+G189+H189+I189</f>
        <v>744509</v>
      </c>
      <c r="E189" s="249">
        <v>744509</v>
      </c>
      <c r="F189" s="97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250"/>
      <c r="Y189" s="251"/>
      <c r="Z189" s="252"/>
      <c r="AA189" s="252"/>
      <c r="AB189" s="12"/>
      <c r="AC189" s="12"/>
    </row>
    <row r="190" spans="1:29" s="253" customFormat="1" ht="12.75">
      <c r="A190" s="10">
        <f>A189+1</f>
        <v>136</v>
      </c>
      <c r="B190" s="82" t="s">
        <v>714</v>
      </c>
      <c r="C190" s="97">
        <f>D190+K190+M190+O190+Q190+S190+U190+V190+W190</f>
        <v>757978</v>
      </c>
      <c r="D190" s="97">
        <f>E190+F190+G190+H190+I190</f>
        <v>757978</v>
      </c>
      <c r="E190" s="249">
        <v>757978</v>
      </c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250"/>
      <c r="Y190" s="251"/>
      <c r="Z190" s="252"/>
      <c r="AA190" s="252"/>
      <c r="AB190" s="12"/>
      <c r="AC190" s="12"/>
    </row>
    <row r="191" spans="1:29" s="253" customFormat="1" ht="12.75">
      <c r="A191" s="10">
        <f>A190+1</f>
        <v>137</v>
      </c>
      <c r="B191" s="82" t="s">
        <v>715</v>
      </c>
      <c r="C191" s="97">
        <f>D191+K191+M191+O191+Q191+S191+U191+V191+W191</f>
        <v>763883</v>
      </c>
      <c r="D191" s="97">
        <f>E191+F191+G191+H191+I191</f>
        <v>763883</v>
      </c>
      <c r="E191" s="249">
        <v>763883</v>
      </c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250"/>
      <c r="Y191" s="251"/>
      <c r="Z191" s="252"/>
      <c r="AA191" s="252"/>
      <c r="AB191" s="12"/>
      <c r="AC191" s="12"/>
    </row>
    <row r="192" spans="1:29" s="253" customFormat="1" ht="12.75">
      <c r="A192" s="117" t="s">
        <v>597</v>
      </c>
      <c r="B192" s="117"/>
      <c r="C192" s="86">
        <f>SUM(C189:C191)</f>
        <v>2266370</v>
      </c>
      <c r="D192" s="86">
        <f aca="true" t="shared" si="39" ref="D192:X192">SUM(D189:D191)</f>
        <v>2266370</v>
      </c>
      <c r="E192" s="86">
        <f t="shared" si="39"/>
        <v>2266370</v>
      </c>
      <c r="F192" s="86">
        <f t="shared" si="39"/>
        <v>0</v>
      </c>
      <c r="G192" s="86">
        <f t="shared" si="39"/>
        <v>0</v>
      </c>
      <c r="H192" s="86">
        <f t="shared" si="39"/>
        <v>0</v>
      </c>
      <c r="I192" s="86">
        <f t="shared" si="39"/>
        <v>0</v>
      </c>
      <c r="J192" s="86">
        <f t="shared" si="39"/>
        <v>0</v>
      </c>
      <c r="K192" s="86">
        <f t="shared" si="39"/>
        <v>0</v>
      </c>
      <c r="L192" s="86">
        <f t="shared" si="39"/>
        <v>0</v>
      </c>
      <c r="M192" s="86">
        <f t="shared" si="39"/>
        <v>0</v>
      </c>
      <c r="N192" s="86">
        <f t="shared" si="39"/>
        <v>0</v>
      </c>
      <c r="O192" s="86">
        <f t="shared" si="39"/>
        <v>0</v>
      </c>
      <c r="P192" s="86">
        <f t="shared" si="39"/>
        <v>0</v>
      </c>
      <c r="Q192" s="86">
        <f t="shared" si="39"/>
        <v>0</v>
      </c>
      <c r="R192" s="86">
        <f t="shared" si="39"/>
        <v>0</v>
      </c>
      <c r="S192" s="86">
        <f t="shared" si="39"/>
        <v>0</v>
      </c>
      <c r="T192" s="86">
        <f t="shared" si="39"/>
        <v>0</v>
      </c>
      <c r="U192" s="86">
        <f t="shared" si="39"/>
        <v>0</v>
      </c>
      <c r="V192" s="86">
        <f t="shared" si="39"/>
        <v>0</v>
      </c>
      <c r="W192" s="86">
        <f t="shared" si="39"/>
        <v>0</v>
      </c>
      <c r="X192" s="86">
        <f t="shared" si="39"/>
        <v>0</v>
      </c>
      <c r="Y192" s="14"/>
      <c r="Z192" s="12"/>
      <c r="AA192" s="252"/>
      <c r="AB192" s="12"/>
      <c r="AC192" s="12"/>
    </row>
    <row r="193" spans="1:29" ht="12.75" customHeight="1">
      <c r="A193" s="123" t="s">
        <v>614</v>
      </c>
      <c r="B193" s="123"/>
      <c r="C193" s="123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4"/>
      <c r="Z193" s="12"/>
      <c r="AA193" s="11"/>
      <c r="AB193" s="12"/>
      <c r="AC193" s="12"/>
    </row>
    <row r="194" spans="1:29" ht="12.75" customHeight="1">
      <c r="A194" s="10">
        <f>A191+1</f>
        <v>138</v>
      </c>
      <c r="B194" s="13" t="s">
        <v>213</v>
      </c>
      <c r="C194" s="97">
        <f>D194+K194+M194+O194+Q194+S194+U194+V194+W194+X194</f>
        <v>2530810</v>
      </c>
      <c r="D194" s="86">
        <f>E194+F194+G194+H194+I194</f>
        <v>0</v>
      </c>
      <c r="E194" s="19"/>
      <c r="F194" s="19"/>
      <c r="G194" s="19"/>
      <c r="H194" s="19"/>
      <c r="I194" s="19"/>
      <c r="J194" s="19"/>
      <c r="K194" s="19"/>
      <c r="L194" s="97">
        <v>581</v>
      </c>
      <c r="M194" s="97">
        <v>2530810</v>
      </c>
      <c r="N194" s="19"/>
      <c r="O194" s="19"/>
      <c r="P194" s="97"/>
      <c r="Q194" s="97"/>
      <c r="R194" s="19"/>
      <c r="S194" s="19"/>
      <c r="T194" s="97"/>
      <c r="U194" s="97"/>
      <c r="V194" s="19"/>
      <c r="W194" s="97"/>
      <c r="X194" s="97"/>
      <c r="Y194" s="14"/>
      <c r="Z194" s="12"/>
      <c r="AA194" s="11"/>
      <c r="AB194" s="12"/>
      <c r="AC194" s="12"/>
    </row>
    <row r="195" spans="1:29" ht="12.75" customHeight="1">
      <c r="A195" s="10">
        <f>A194+1</f>
        <v>139</v>
      </c>
      <c r="B195" s="13" t="s">
        <v>214</v>
      </c>
      <c r="C195" s="97">
        <f>D195+K195+M195+O195+Q195+S195+U195+V195+W195+X195</f>
        <v>2530810</v>
      </c>
      <c r="D195" s="86">
        <f>E195+F195+G195+H195+I195</f>
        <v>0</v>
      </c>
      <c r="E195" s="19"/>
      <c r="F195" s="19"/>
      <c r="G195" s="19"/>
      <c r="H195" s="19"/>
      <c r="I195" s="19"/>
      <c r="J195" s="19"/>
      <c r="K195" s="19"/>
      <c r="L195" s="97">
        <v>581</v>
      </c>
      <c r="M195" s="97">
        <v>2530810</v>
      </c>
      <c r="N195" s="19"/>
      <c r="O195" s="19"/>
      <c r="P195" s="97"/>
      <c r="Q195" s="97"/>
      <c r="R195" s="19"/>
      <c r="S195" s="19"/>
      <c r="T195" s="97"/>
      <c r="U195" s="97"/>
      <c r="V195" s="19"/>
      <c r="W195" s="97"/>
      <c r="X195" s="97"/>
      <c r="Y195" s="14"/>
      <c r="Z195" s="12"/>
      <c r="AA195" s="11"/>
      <c r="AB195" s="12"/>
      <c r="AC195" s="12"/>
    </row>
    <row r="196" spans="1:29" ht="12.75" customHeight="1">
      <c r="A196" s="10">
        <f>A195+1</f>
        <v>140</v>
      </c>
      <c r="B196" s="13" t="s">
        <v>215</v>
      </c>
      <c r="C196" s="97">
        <f>D196+K196+M196+O196+Q196+S196+U196+V196+W196+X196</f>
        <v>2530810</v>
      </c>
      <c r="D196" s="86">
        <f>E196+F196+G196+H196+I196</f>
        <v>0</v>
      </c>
      <c r="E196" s="19"/>
      <c r="F196" s="19"/>
      <c r="G196" s="19"/>
      <c r="H196" s="19"/>
      <c r="I196" s="19"/>
      <c r="J196" s="19"/>
      <c r="K196" s="19"/>
      <c r="L196" s="97">
        <v>581</v>
      </c>
      <c r="M196" s="97">
        <v>2530810</v>
      </c>
      <c r="N196" s="19"/>
      <c r="O196" s="19"/>
      <c r="P196" s="97"/>
      <c r="Q196" s="97"/>
      <c r="R196" s="19"/>
      <c r="S196" s="19"/>
      <c r="T196" s="97"/>
      <c r="U196" s="97"/>
      <c r="V196" s="19"/>
      <c r="W196" s="97"/>
      <c r="X196" s="97"/>
      <c r="Y196" s="14"/>
      <c r="Z196" s="12"/>
      <c r="AA196" s="11"/>
      <c r="AB196" s="12"/>
      <c r="AC196" s="12"/>
    </row>
    <row r="197" spans="1:29" ht="12.75" customHeight="1">
      <c r="A197" s="10">
        <f>A196+1</f>
        <v>141</v>
      </c>
      <c r="B197" s="13" t="s">
        <v>216</v>
      </c>
      <c r="C197" s="97">
        <f>D197+K197+M197+O197+Q197+S197+U197+V197+W197+X197</f>
        <v>2560636</v>
      </c>
      <c r="D197" s="86">
        <f>E197+F197+G197+H197+I197</f>
        <v>0</v>
      </c>
      <c r="E197" s="19"/>
      <c r="F197" s="19"/>
      <c r="G197" s="19"/>
      <c r="H197" s="19"/>
      <c r="I197" s="19"/>
      <c r="J197" s="19"/>
      <c r="K197" s="19"/>
      <c r="L197" s="97">
        <v>581</v>
      </c>
      <c r="M197" s="97">
        <v>2560636</v>
      </c>
      <c r="N197" s="19"/>
      <c r="O197" s="19"/>
      <c r="P197" s="97"/>
      <c r="Q197" s="97"/>
      <c r="R197" s="19"/>
      <c r="S197" s="19"/>
      <c r="T197" s="97"/>
      <c r="U197" s="97"/>
      <c r="V197" s="19"/>
      <c r="W197" s="97"/>
      <c r="X197" s="97"/>
      <c r="Y197" s="14"/>
      <c r="Z197" s="12"/>
      <c r="AA197" s="11"/>
      <c r="AB197" s="12"/>
      <c r="AC197" s="12"/>
    </row>
    <row r="198" spans="1:29" ht="12.75">
      <c r="A198" s="130" t="s">
        <v>597</v>
      </c>
      <c r="B198" s="130"/>
      <c r="C198" s="86">
        <f>SUM(C194:C197)</f>
        <v>10153066</v>
      </c>
      <c r="D198" s="86">
        <f aca="true" t="shared" si="40" ref="D198:X198">SUM(D194:D197)</f>
        <v>0</v>
      </c>
      <c r="E198" s="86">
        <f t="shared" si="40"/>
        <v>0</v>
      </c>
      <c r="F198" s="86">
        <f t="shared" si="40"/>
        <v>0</v>
      </c>
      <c r="G198" s="86">
        <f t="shared" si="40"/>
        <v>0</v>
      </c>
      <c r="H198" s="86">
        <f t="shared" si="40"/>
        <v>0</v>
      </c>
      <c r="I198" s="86">
        <f t="shared" si="40"/>
        <v>0</v>
      </c>
      <c r="J198" s="86">
        <f t="shared" si="40"/>
        <v>0</v>
      </c>
      <c r="K198" s="86">
        <f t="shared" si="40"/>
        <v>0</v>
      </c>
      <c r="L198" s="86">
        <f t="shared" si="40"/>
        <v>2324</v>
      </c>
      <c r="M198" s="86">
        <f t="shared" si="40"/>
        <v>10153066</v>
      </c>
      <c r="N198" s="86">
        <f t="shared" si="40"/>
        <v>0</v>
      </c>
      <c r="O198" s="86">
        <f t="shared" si="40"/>
        <v>0</v>
      </c>
      <c r="P198" s="86">
        <f t="shared" si="40"/>
        <v>0</v>
      </c>
      <c r="Q198" s="86">
        <f t="shared" si="40"/>
        <v>0</v>
      </c>
      <c r="R198" s="86">
        <f t="shared" si="40"/>
        <v>0</v>
      </c>
      <c r="S198" s="86">
        <f t="shared" si="40"/>
        <v>0</v>
      </c>
      <c r="T198" s="86">
        <f t="shared" si="40"/>
        <v>0</v>
      </c>
      <c r="U198" s="86">
        <f t="shared" si="40"/>
        <v>0</v>
      </c>
      <c r="V198" s="86">
        <f t="shared" si="40"/>
        <v>0</v>
      </c>
      <c r="W198" s="86">
        <f t="shared" si="40"/>
        <v>0</v>
      </c>
      <c r="X198" s="86">
        <f t="shared" si="40"/>
        <v>0</v>
      </c>
      <c r="Y198" s="14"/>
      <c r="Z198" s="12"/>
      <c r="AA198" s="12"/>
      <c r="AB198" s="12"/>
      <c r="AC198" s="12"/>
    </row>
    <row r="199" spans="1:29" ht="12.75" customHeight="1">
      <c r="A199" s="123" t="s">
        <v>680</v>
      </c>
      <c r="B199" s="123"/>
      <c r="C199" s="123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4"/>
      <c r="Z199" s="12"/>
      <c r="AA199" s="11"/>
      <c r="AB199" s="12"/>
      <c r="AC199" s="12"/>
    </row>
    <row r="200" spans="1:29" ht="12.75" customHeight="1">
      <c r="A200" s="10">
        <f>A197+1</f>
        <v>142</v>
      </c>
      <c r="B200" s="13" t="s">
        <v>817</v>
      </c>
      <c r="C200" s="97">
        <f aca="true" t="shared" si="41" ref="C200:C210">D200+K200+M200+O200+Q200+S200+U200+V200+W200+X200</f>
        <v>971445</v>
      </c>
      <c r="D200" s="86">
        <f aca="true" t="shared" si="42" ref="D200:D218">E200+F200+G200+H200+I200</f>
        <v>0</v>
      </c>
      <c r="E200" s="86"/>
      <c r="F200" s="86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6">
        <f>251402+213869+359309+146865</f>
        <v>971445</v>
      </c>
      <c r="X200" s="81"/>
      <c r="Y200" s="14"/>
      <c r="Z200" s="12"/>
      <c r="AA200" s="11"/>
      <c r="AB200" s="12"/>
      <c r="AC200" s="12"/>
    </row>
    <row r="201" spans="1:29" ht="12.75" customHeight="1">
      <c r="A201" s="10">
        <f>A200+1</f>
        <v>143</v>
      </c>
      <c r="B201" s="13" t="s">
        <v>816</v>
      </c>
      <c r="C201" s="97">
        <f t="shared" si="41"/>
        <v>946526</v>
      </c>
      <c r="D201" s="86">
        <f t="shared" si="42"/>
        <v>0</v>
      </c>
      <c r="E201" s="86"/>
      <c r="F201" s="86"/>
      <c r="G201" s="86"/>
      <c r="H201" s="86"/>
      <c r="I201" s="86"/>
      <c r="J201" s="86"/>
      <c r="K201" s="86"/>
      <c r="L201" s="86"/>
      <c r="M201" s="97"/>
      <c r="N201" s="86"/>
      <c r="O201" s="86"/>
      <c r="P201" s="86"/>
      <c r="Q201" s="86"/>
      <c r="R201" s="86"/>
      <c r="S201" s="86"/>
      <c r="T201" s="86"/>
      <c r="U201" s="86"/>
      <c r="V201" s="86"/>
      <c r="W201" s="86">
        <f>244183+208896+352480+140967</f>
        <v>946526</v>
      </c>
      <c r="X201" s="86"/>
      <c r="Y201" s="14"/>
      <c r="Z201" s="12"/>
      <c r="AA201" s="11"/>
      <c r="AB201" s="12"/>
      <c r="AC201" s="12"/>
    </row>
    <row r="202" spans="1:29" s="253" customFormat="1" ht="12.75">
      <c r="A202" s="10">
        <f aca="true" t="shared" si="43" ref="A202:A218">A201+1</f>
        <v>144</v>
      </c>
      <c r="B202" s="89" t="s">
        <v>716</v>
      </c>
      <c r="C202" s="97">
        <f t="shared" si="41"/>
        <v>7090881</v>
      </c>
      <c r="D202" s="86">
        <f t="shared" si="42"/>
        <v>6742512</v>
      </c>
      <c r="E202" s="249">
        <v>1948878</v>
      </c>
      <c r="F202" s="86"/>
      <c r="G202" s="86"/>
      <c r="H202" s="249">
        <v>4793634</v>
      </c>
      <c r="I202" s="86"/>
      <c r="J202" s="19"/>
      <c r="K202" s="19"/>
      <c r="L202" s="86"/>
      <c r="M202" s="86"/>
      <c r="N202" s="86"/>
      <c r="O202" s="86"/>
      <c r="P202" s="97"/>
      <c r="Q202" s="246"/>
      <c r="R202" s="86"/>
      <c r="S202" s="86"/>
      <c r="T202" s="86"/>
      <c r="U202" s="86"/>
      <c r="V202" s="249">
        <v>348369</v>
      </c>
      <c r="W202" s="86"/>
      <c r="X202" s="250"/>
      <c r="Y202" s="251"/>
      <c r="Z202" s="252"/>
      <c r="AA202" s="252"/>
      <c r="AB202" s="12"/>
      <c r="AC202" s="12"/>
    </row>
    <row r="203" spans="1:29" ht="12.75" customHeight="1">
      <c r="A203" s="10">
        <f t="shared" si="43"/>
        <v>145</v>
      </c>
      <c r="B203" s="13" t="s">
        <v>208</v>
      </c>
      <c r="C203" s="97">
        <f t="shared" si="41"/>
        <v>2172047</v>
      </c>
      <c r="D203" s="86">
        <f t="shared" si="42"/>
        <v>0</v>
      </c>
      <c r="E203" s="86"/>
      <c r="F203" s="86"/>
      <c r="G203" s="86"/>
      <c r="H203" s="86"/>
      <c r="I203" s="86"/>
      <c r="J203" s="86"/>
      <c r="K203" s="86"/>
      <c r="L203" s="86"/>
      <c r="M203" s="97"/>
      <c r="N203" s="86"/>
      <c r="O203" s="86"/>
      <c r="P203" s="86">
        <v>1251</v>
      </c>
      <c r="Q203" s="86">
        <v>2172047</v>
      </c>
      <c r="R203" s="86"/>
      <c r="S203" s="86"/>
      <c r="T203" s="86"/>
      <c r="U203" s="86"/>
      <c r="V203" s="86"/>
      <c r="W203" s="86"/>
      <c r="X203" s="86"/>
      <c r="Y203" s="14"/>
      <c r="Z203" s="12"/>
      <c r="AA203" s="11"/>
      <c r="AB203" s="12"/>
      <c r="AC203" s="12"/>
    </row>
    <row r="204" spans="1:29" ht="12.75" customHeight="1">
      <c r="A204" s="10">
        <f t="shared" si="43"/>
        <v>146</v>
      </c>
      <c r="B204" s="13" t="s">
        <v>205</v>
      </c>
      <c r="C204" s="97">
        <f t="shared" si="41"/>
        <v>257430</v>
      </c>
      <c r="D204" s="86">
        <f t="shared" si="42"/>
        <v>0</v>
      </c>
      <c r="E204" s="86"/>
      <c r="F204" s="86"/>
      <c r="G204" s="86"/>
      <c r="H204" s="86"/>
      <c r="I204" s="86"/>
      <c r="J204" s="86"/>
      <c r="K204" s="86"/>
      <c r="L204" s="86"/>
      <c r="M204" s="97"/>
      <c r="N204" s="86"/>
      <c r="O204" s="86"/>
      <c r="P204" s="86"/>
      <c r="Q204" s="86"/>
      <c r="R204" s="86"/>
      <c r="S204" s="86"/>
      <c r="T204" s="86"/>
      <c r="U204" s="86"/>
      <c r="V204" s="86"/>
      <c r="W204" s="97">
        <f>170775+86655</f>
        <v>257430</v>
      </c>
      <c r="X204" s="86"/>
      <c r="Y204" s="14"/>
      <c r="Z204" s="12"/>
      <c r="AA204" s="11"/>
      <c r="AB204" s="12"/>
      <c r="AC204" s="12"/>
    </row>
    <row r="205" spans="1:29" ht="12.75" customHeight="1">
      <c r="A205" s="10">
        <f t="shared" si="43"/>
        <v>147</v>
      </c>
      <c r="B205" s="13" t="s">
        <v>202</v>
      </c>
      <c r="C205" s="97">
        <f t="shared" si="41"/>
        <v>2590995</v>
      </c>
      <c r="D205" s="86">
        <f t="shared" si="42"/>
        <v>0</v>
      </c>
      <c r="E205" s="86"/>
      <c r="F205" s="86"/>
      <c r="G205" s="86"/>
      <c r="H205" s="86"/>
      <c r="I205" s="86"/>
      <c r="J205" s="86"/>
      <c r="K205" s="86"/>
      <c r="L205" s="86"/>
      <c r="M205" s="97"/>
      <c r="N205" s="86"/>
      <c r="O205" s="86"/>
      <c r="P205" s="86">
        <v>2672</v>
      </c>
      <c r="Q205" s="86">
        <v>2590995</v>
      </c>
      <c r="R205" s="86"/>
      <c r="S205" s="86"/>
      <c r="T205" s="86"/>
      <c r="U205" s="86"/>
      <c r="V205" s="86"/>
      <c r="W205" s="86"/>
      <c r="X205" s="86"/>
      <c r="Y205" s="14"/>
      <c r="Z205" s="12"/>
      <c r="AA205" s="11"/>
      <c r="AB205" s="12"/>
      <c r="AC205" s="12"/>
    </row>
    <row r="206" spans="1:29" ht="12.75" customHeight="1">
      <c r="A206" s="10">
        <f t="shared" si="43"/>
        <v>148</v>
      </c>
      <c r="B206" s="13" t="s">
        <v>807</v>
      </c>
      <c r="C206" s="97">
        <f t="shared" si="41"/>
        <v>424265</v>
      </c>
      <c r="D206" s="86">
        <f t="shared" si="42"/>
        <v>0</v>
      </c>
      <c r="E206" s="86"/>
      <c r="F206" s="86"/>
      <c r="G206" s="86"/>
      <c r="H206" s="86"/>
      <c r="I206" s="86"/>
      <c r="J206" s="86"/>
      <c r="K206" s="86"/>
      <c r="L206" s="86"/>
      <c r="M206" s="97"/>
      <c r="N206" s="86"/>
      <c r="O206" s="86"/>
      <c r="P206" s="86"/>
      <c r="Q206" s="86"/>
      <c r="R206" s="86"/>
      <c r="S206" s="86"/>
      <c r="T206" s="86"/>
      <c r="U206" s="86"/>
      <c r="V206" s="86"/>
      <c r="W206" s="86">
        <v>424265</v>
      </c>
      <c r="X206" s="86"/>
      <c r="Y206" s="14"/>
      <c r="Z206" s="12"/>
      <c r="AA206" s="11"/>
      <c r="AB206" s="12"/>
      <c r="AC206" s="12"/>
    </row>
    <row r="207" spans="1:29" ht="12.75" customHeight="1">
      <c r="A207" s="10">
        <f t="shared" si="43"/>
        <v>149</v>
      </c>
      <c r="B207" s="13" t="s">
        <v>206</v>
      </c>
      <c r="C207" s="97">
        <f t="shared" si="41"/>
        <v>216727</v>
      </c>
      <c r="D207" s="86">
        <f t="shared" si="42"/>
        <v>0</v>
      </c>
      <c r="E207" s="86"/>
      <c r="F207" s="86"/>
      <c r="G207" s="86"/>
      <c r="H207" s="86"/>
      <c r="I207" s="86"/>
      <c r="J207" s="86"/>
      <c r="K207" s="86"/>
      <c r="L207" s="86"/>
      <c r="M207" s="97"/>
      <c r="N207" s="86"/>
      <c r="O207" s="86"/>
      <c r="P207" s="86"/>
      <c r="Q207" s="86"/>
      <c r="R207" s="86"/>
      <c r="S207" s="86"/>
      <c r="T207" s="86"/>
      <c r="U207" s="86"/>
      <c r="V207" s="86"/>
      <c r="W207" s="86">
        <v>216727</v>
      </c>
      <c r="X207" s="86"/>
      <c r="Y207" s="14"/>
      <c r="Z207" s="12"/>
      <c r="AA207" s="11"/>
      <c r="AB207" s="12"/>
      <c r="AC207" s="12"/>
    </row>
    <row r="208" spans="1:29" ht="12.75" customHeight="1">
      <c r="A208" s="10">
        <f t="shared" si="43"/>
        <v>150</v>
      </c>
      <c r="B208" s="13" t="s">
        <v>207</v>
      </c>
      <c r="C208" s="97">
        <f t="shared" si="41"/>
        <v>418131</v>
      </c>
      <c r="D208" s="86">
        <f t="shared" si="42"/>
        <v>0</v>
      </c>
      <c r="E208" s="86"/>
      <c r="F208" s="86"/>
      <c r="G208" s="86"/>
      <c r="H208" s="86"/>
      <c r="I208" s="86"/>
      <c r="J208" s="86"/>
      <c r="K208" s="86"/>
      <c r="L208" s="86"/>
      <c r="M208" s="97"/>
      <c r="N208" s="86"/>
      <c r="O208" s="86"/>
      <c r="P208" s="86"/>
      <c r="Q208" s="86"/>
      <c r="R208" s="86"/>
      <c r="S208" s="86"/>
      <c r="T208" s="86"/>
      <c r="U208" s="86"/>
      <c r="V208" s="86"/>
      <c r="W208" s="86">
        <v>418131</v>
      </c>
      <c r="X208" s="86"/>
      <c r="Y208" s="14"/>
      <c r="Z208" s="12"/>
      <c r="AA208" s="11"/>
      <c r="AB208" s="12"/>
      <c r="AC208" s="12"/>
    </row>
    <row r="209" spans="1:29" ht="12.75" customHeight="1">
      <c r="A209" s="10">
        <f t="shared" si="43"/>
        <v>151</v>
      </c>
      <c r="B209" s="89" t="s">
        <v>808</v>
      </c>
      <c r="C209" s="97">
        <f t="shared" si="41"/>
        <v>633435</v>
      </c>
      <c r="D209" s="86">
        <f t="shared" si="42"/>
        <v>0</v>
      </c>
      <c r="E209" s="86"/>
      <c r="F209" s="86"/>
      <c r="G209" s="86"/>
      <c r="H209" s="86"/>
      <c r="I209" s="86"/>
      <c r="J209" s="86"/>
      <c r="K209" s="86"/>
      <c r="L209" s="86"/>
      <c r="M209" s="97"/>
      <c r="N209" s="86"/>
      <c r="O209" s="86"/>
      <c r="P209" s="86"/>
      <c r="Q209" s="86"/>
      <c r="R209" s="86"/>
      <c r="S209" s="86"/>
      <c r="T209" s="86"/>
      <c r="U209" s="86"/>
      <c r="V209" s="86"/>
      <c r="W209" s="86">
        <f>267934+365501</f>
        <v>633435</v>
      </c>
      <c r="X209" s="86"/>
      <c r="Y209" s="14"/>
      <c r="Z209" s="12"/>
      <c r="AA209" s="11"/>
      <c r="AB209" s="12"/>
      <c r="AC209" s="12"/>
    </row>
    <row r="210" spans="1:29" ht="12.75" customHeight="1">
      <c r="A210" s="10">
        <f t="shared" si="43"/>
        <v>152</v>
      </c>
      <c r="B210" s="13" t="s">
        <v>212</v>
      </c>
      <c r="C210" s="97">
        <f t="shared" si="41"/>
        <v>588700</v>
      </c>
      <c r="D210" s="86">
        <f t="shared" si="42"/>
        <v>0</v>
      </c>
      <c r="E210" s="86"/>
      <c r="F210" s="86"/>
      <c r="G210" s="86"/>
      <c r="H210" s="86"/>
      <c r="I210" s="86"/>
      <c r="J210" s="86"/>
      <c r="K210" s="86"/>
      <c r="L210" s="86"/>
      <c r="M210" s="97"/>
      <c r="N210" s="86"/>
      <c r="O210" s="86"/>
      <c r="P210" s="86"/>
      <c r="Q210" s="86"/>
      <c r="R210" s="86"/>
      <c r="S210" s="86"/>
      <c r="T210" s="86"/>
      <c r="U210" s="86"/>
      <c r="V210" s="86"/>
      <c r="W210" s="97">
        <f>220410+368290</f>
        <v>588700</v>
      </c>
      <c r="X210" s="86"/>
      <c r="Y210" s="14"/>
      <c r="Z210" s="12"/>
      <c r="AA210" s="11"/>
      <c r="AB210" s="12"/>
      <c r="AC210" s="12"/>
    </row>
    <row r="211" spans="1:29" s="253" customFormat="1" ht="12.75">
      <c r="A211" s="10">
        <f t="shared" si="43"/>
        <v>153</v>
      </c>
      <c r="B211" s="89" t="s">
        <v>717</v>
      </c>
      <c r="C211" s="97">
        <f>D211+K211+M211+O211+Q211+S211+U211+V211+W211</f>
        <v>1372450</v>
      </c>
      <c r="D211" s="86">
        <f t="shared" si="42"/>
        <v>1372450</v>
      </c>
      <c r="E211" s="249">
        <v>1372450</v>
      </c>
      <c r="F211" s="86"/>
      <c r="G211" s="86"/>
      <c r="H211" s="86"/>
      <c r="I211" s="86"/>
      <c r="J211" s="19"/>
      <c r="K211" s="19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19"/>
      <c r="W211" s="86"/>
      <c r="X211" s="250"/>
      <c r="Y211" s="251"/>
      <c r="Z211" s="252"/>
      <c r="AA211" s="252"/>
      <c r="AB211" s="12"/>
      <c r="AC211" s="12"/>
    </row>
    <row r="212" spans="1:29" s="253" customFormat="1" ht="12.75">
      <c r="A212" s="10">
        <f t="shared" si="43"/>
        <v>154</v>
      </c>
      <c r="B212" s="82" t="s">
        <v>718</v>
      </c>
      <c r="C212" s="97">
        <f>D212+K212+M212+O212+Q212+S212+U212+V212+W212</f>
        <v>1643720</v>
      </c>
      <c r="D212" s="86">
        <f t="shared" si="42"/>
        <v>1643720</v>
      </c>
      <c r="E212" s="249">
        <v>1643720</v>
      </c>
      <c r="F212" s="86"/>
      <c r="G212" s="86"/>
      <c r="H212" s="86"/>
      <c r="I212" s="86"/>
      <c r="J212" s="19"/>
      <c r="K212" s="19"/>
      <c r="L212" s="86"/>
      <c r="M212" s="86"/>
      <c r="N212" s="86"/>
      <c r="O212" s="86"/>
      <c r="P212" s="97"/>
      <c r="Q212" s="246"/>
      <c r="R212" s="86"/>
      <c r="S212" s="86"/>
      <c r="T212" s="86"/>
      <c r="U212" s="86"/>
      <c r="V212" s="19"/>
      <c r="W212" s="86"/>
      <c r="X212" s="250"/>
      <c r="Y212" s="251"/>
      <c r="Z212" s="252"/>
      <c r="AA212" s="252"/>
      <c r="AB212" s="12"/>
      <c r="AC212" s="12"/>
    </row>
    <row r="213" spans="1:29" ht="12.75" customHeight="1">
      <c r="A213" s="10">
        <f t="shared" si="43"/>
        <v>155</v>
      </c>
      <c r="B213" s="13" t="s">
        <v>203</v>
      </c>
      <c r="C213" s="97">
        <f aca="true" t="shared" si="44" ref="C213:C218">D213+K213+M213+O213+Q213+S213+U213+V213+W213+X213</f>
        <v>21160549</v>
      </c>
      <c r="D213" s="86">
        <f t="shared" si="42"/>
        <v>0</v>
      </c>
      <c r="E213" s="86"/>
      <c r="F213" s="86"/>
      <c r="G213" s="86"/>
      <c r="H213" s="86"/>
      <c r="I213" s="86"/>
      <c r="J213" s="10">
        <v>7</v>
      </c>
      <c r="K213" s="86">
        <v>19600000</v>
      </c>
      <c r="L213" s="86"/>
      <c r="M213" s="97"/>
      <c r="N213" s="86"/>
      <c r="O213" s="86"/>
      <c r="P213" s="86"/>
      <c r="Q213" s="86"/>
      <c r="R213" s="86"/>
      <c r="S213" s="86"/>
      <c r="T213" s="86"/>
      <c r="U213" s="86"/>
      <c r="V213" s="86"/>
      <c r="W213" s="86">
        <v>1560549</v>
      </c>
      <c r="X213" s="86"/>
      <c r="Y213" s="14"/>
      <c r="Z213" s="12"/>
      <c r="AA213" s="11"/>
      <c r="AB213" s="12"/>
      <c r="AC213" s="12"/>
    </row>
    <row r="214" spans="1:29" ht="12.75" customHeight="1">
      <c r="A214" s="10">
        <f t="shared" si="43"/>
        <v>156</v>
      </c>
      <c r="B214" s="13" t="s">
        <v>204</v>
      </c>
      <c r="C214" s="97">
        <f t="shared" si="44"/>
        <v>21160549</v>
      </c>
      <c r="D214" s="86">
        <f t="shared" si="42"/>
        <v>0</v>
      </c>
      <c r="E214" s="86"/>
      <c r="F214" s="86"/>
      <c r="G214" s="86"/>
      <c r="H214" s="86"/>
      <c r="I214" s="86"/>
      <c r="J214" s="10">
        <v>7</v>
      </c>
      <c r="K214" s="86">
        <v>19600000</v>
      </c>
      <c r="L214" s="86"/>
      <c r="M214" s="97"/>
      <c r="N214" s="86"/>
      <c r="O214" s="86"/>
      <c r="P214" s="86"/>
      <c r="Q214" s="86"/>
      <c r="R214" s="86"/>
      <c r="S214" s="86"/>
      <c r="T214" s="86"/>
      <c r="U214" s="86"/>
      <c r="V214" s="86"/>
      <c r="W214" s="86">
        <v>1560549</v>
      </c>
      <c r="X214" s="86"/>
      <c r="Y214" s="14"/>
      <c r="Z214" s="12"/>
      <c r="AA214" s="11"/>
      <c r="AB214" s="12"/>
      <c r="AC214" s="12"/>
    </row>
    <row r="215" spans="1:29" ht="12.75" customHeight="1">
      <c r="A215" s="10">
        <f t="shared" si="43"/>
        <v>157</v>
      </c>
      <c r="B215" s="13" t="s">
        <v>211</v>
      </c>
      <c r="C215" s="97">
        <f t="shared" si="44"/>
        <v>1504574</v>
      </c>
      <c r="D215" s="86">
        <f t="shared" si="42"/>
        <v>0</v>
      </c>
      <c r="E215" s="86"/>
      <c r="F215" s="86"/>
      <c r="G215" s="86"/>
      <c r="H215" s="86"/>
      <c r="I215" s="86"/>
      <c r="J215" s="86"/>
      <c r="K215" s="86"/>
      <c r="L215" s="86">
        <v>1080</v>
      </c>
      <c r="M215" s="97">
        <v>1210101</v>
      </c>
      <c r="N215" s="86"/>
      <c r="O215" s="86"/>
      <c r="P215" s="86"/>
      <c r="Q215" s="86"/>
      <c r="R215" s="86"/>
      <c r="S215" s="86"/>
      <c r="T215" s="86"/>
      <c r="U215" s="86"/>
      <c r="V215" s="86"/>
      <c r="W215" s="86">
        <v>294473</v>
      </c>
      <c r="X215" s="86"/>
      <c r="Y215" s="14"/>
      <c r="Z215" s="12"/>
      <c r="AA215" s="11"/>
      <c r="AB215" s="12"/>
      <c r="AC215" s="12"/>
    </row>
    <row r="216" spans="1:29" ht="15.75" customHeight="1">
      <c r="A216" s="10">
        <f t="shared" si="43"/>
        <v>158</v>
      </c>
      <c r="B216" s="13" t="s">
        <v>809</v>
      </c>
      <c r="C216" s="97">
        <f t="shared" si="44"/>
        <v>1173648</v>
      </c>
      <c r="D216" s="86">
        <f t="shared" si="42"/>
        <v>0</v>
      </c>
      <c r="E216" s="86"/>
      <c r="F216" s="86"/>
      <c r="G216" s="86"/>
      <c r="H216" s="86"/>
      <c r="I216" s="86"/>
      <c r="J216" s="86"/>
      <c r="K216" s="86"/>
      <c r="L216" s="86"/>
      <c r="M216" s="97"/>
      <c r="N216" s="86"/>
      <c r="O216" s="86"/>
      <c r="P216" s="86"/>
      <c r="Q216" s="86"/>
      <c r="R216" s="86"/>
      <c r="S216" s="86"/>
      <c r="T216" s="86"/>
      <c r="U216" s="86"/>
      <c r="V216" s="86"/>
      <c r="W216" s="86">
        <f>371378+802270</f>
        <v>1173648</v>
      </c>
      <c r="X216" s="86"/>
      <c r="Y216" s="14"/>
      <c r="Z216" s="12"/>
      <c r="AA216" s="11"/>
      <c r="AB216" s="12"/>
      <c r="AC216" s="12"/>
    </row>
    <row r="217" spans="1:29" ht="12.75" customHeight="1">
      <c r="A217" s="10">
        <f t="shared" si="43"/>
        <v>159</v>
      </c>
      <c r="B217" s="13" t="s">
        <v>209</v>
      </c>
      <c r="C217" s="97">
        <f t="shared" si="44"/>
        <v>1852581</v>
      </c>
      <c r="D217" s="86">
        <f t="shared" si="42"/>
        <v>0</v>
      </c>
      <c r="E217" s="86"/>
      <c r="F217" s="86"/>
      <c r="G217" s="86"/>
      <c r="H217" s="86"/>
      <c r="I217" s="86"/>
      <c r="J217" s="86"/>
      <c r="K217" s="86"/>
      <c r="L217" s="86">
        <v>1100</v>
      </c>
      <c r="M217" s="97">
        <v>1534306</v>
      </c>
      <c r="N217" s="86"/>
      <c r="O217" s="86"/>
      <c r="P217" s="86"/>
      <c r="Q217" s="86"/>
      <c r="R217" s="86"/>
      <c r="S217" s="86"/>
      <c r="T217" s="86"/>
      <c r="U217" s="86"/>
      <c r="V217" s="86"/>
      <c r="W217" s="86">
        <v>318275</v>
      </c>
      <c r="X217" s="86"/>
      <c r="Y217" s="14"/>
      <c r="Z217" s="12"/>
      <c r="AA217" s="11"/>
      <c r="AB217" s="12"/>
      <c r="AC217" s="12"/>
    </row>
    <row r="218" spans="1:29" ht="12.75" customHeight="1">
      <c r="A218" s="10">
        <f t="shared" si="43"/>
        <v>160</v>
      </c>
      <c r="B218" s="13" t="s">
        <v>210</v>
      </c>
      <c r="C218" s="97">
        <f t="shared" si="44"/>
        <v>3234587</v>
      </c>
      <c r="D218" s="86">
        <f t="shared" si="42"/>
        <v>0</v>
      </c>
      <c r="E218" s="86"/>
      <c r="F218" s="86"/>
      <c r="G218" s="86"/>
      <c r="H218" s="86"/>
      <c r="I218" s="86"/>
      <c r="J218" s="86"/>
      <c r="K218" s="86"/>
      <c r="L218" s="86">
        <v>590</v>
      </c>
      <c r="M218" s="97">
        <v>2555680</v>
      </c>
      <c r="N218" s="86"/>
      <c r="O218" s="86"/>
      <c r="P218" s="86">
        <v>721</v>
      </c>
      <c r="Q218" s="86">
        <v>678907</v>
      </c>
      <c r="R218" s="86"/>
      <c r="S218" s="86"/>
      <c r="T218" s="86"/>
      <c r="U218" s="86"/>
      <c r="V218" s="86"/>
      <c r="W218" s="86"/>
      <c r="X218" s="86"/>
      <c r="Y218" s="14"/>
      <c r="Z218" s="12"/>
      <c r="AA218" s="11"/>
      <c r="AB218" s="12"/>
      <c r="AC218" s="12"/>
    </row>
    <row r="219" spans="1:29" ht="12.75" customHeight="1">
      <c r="A219" s="130" t="s">
        <v>597</v>
      </c>
      <c r="B219" s="130"/>
      <c r="C219" s="86">
        <f aca="true" t="shared" si="45" ref="C219:X219">SUM(C200:C218)</f>
        <v>69413240</v>
      </c>
      <c r="D219" s="86">
        <f t="shared" si="45"/>
        <v>9758682</v>
      </c>
      <c r="E219" s="86">
        <f t="shared" si="45"/>
        <v>4965048</v>
      </c>
      <c r="F219" s="86">
        <f t="shared" si="45"/>
        <v>0</v>
      </c>
      <c r="G219" s="86">
        <f t="shared" si="45"/>
        <v>0</v>
      </c>
      <c r="H219" s="86">
        <f t="shared" si="45"/>
        <v>4793634</v>
      </c>
      <c r="I219" s="86">
        <f t="shared" si="45"/>
        <v>0</v>
      </c>
      <c r="J219" s="10">
        <f t="shared" si="45"/>
        <v>14</v>
      </c>
      <c r="K219" s="86">
        <f t="shared" si="45"/>
        <v>39200000</v>
      </c>
      <c r="L219" s="86">
        <f t="shared" si="45"/>
        <v>2770</v>
      </c>
      <c r="M219" s="86">
        <f t="shared" si="45"/>
        <v>5300087</v>
      </c>
      <c r="N219" s="86">
        <f t="shared" si="45"/>
        <v>0</v>
      </c>
      <c r="O219" s="86">
        <f t="shared" si="45"/>
        <v>0</v>
      </c>
      <c r="P219" s="86">
        <f t="shared" si="45"/>
        <v>4644</v>
      </c>
      <c r="Q219" s="86">
        <f t="shared" si="45"/>
        <v>5441949</v>
      </c>
      <c r="R219" s="86">
        <f t="shared" si="45"/>
        <v>0</v>
      </c>
      <c r="S219" s="86">
        <f t="shared" si="45"/>
        <v>0</v>
      </c>
      <c r="T219" s="86">
        <f t="shared" si="45"/>
        <v>0</v>
      </c>
      <c r="U219" s="86">
        <f t="shared" si="45"/>
        <v>0</v>
      </c>
      <c r="V219" s="86">
        <f t="shared" si="45"/>
        <v>348369</v>
      </c>
      <c r="W219" s="86">
        <f t="shared" si="45"/>
        <v>9364153</v>
      </c>
      <c r="X219" s="86">
        <f t="shared" si="45"/>
        <v>0</v>
      </c>
      <c r="Y219" s="14"/>
      <c r="Z219" s="12"/>
      <c r="AA219" s="12"/>
      <c r="AB219" s="12"/>
      <c r="AC219" s="12"/>
    </row>
    <row r="220" spans="1:29" s="253" customFormat="1" ht="12.75">
      <c r="A220" s="140" t="s">
        <v>719</v>
      </c>
      <c r="B220" s="140"/>
      <c r="C220" s="140"/>
      <c r="D220" s="140"/>
      <c r="E220" s="140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250"/>
      <c r="Y220" s="251"/>
      <c r="Z220" s="252"/>
      <c r="AA220" s="252"/>
      <c r="AB220" s="12"/>
      <c r="AC220" s="12"/>
    </row>
    <row r="221" spans="1:29" s="253" customFormat="1" ht="12.75">
      <c r="A221" s="10">
        <f>A218+1</f>
        <v>161</v>
      </c>
      <c r="B221" s="247" t="s">
        <v>720</v>
      </c>
      <c r="C221" s="97">
        <f>D221+K221+M221+O221+Q221+S221+U221+V221+W221+X221</f>
        <v>416500</v>
      </c>
      <c r="D221" s="86">
        <f>E221+F221+G221+H221+I221</f>
        <v>416500</v>
      </c>
      <c r="E221" s="249">
        <v>416500</v>
      </c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19"/>
      <c r="W221" s="86"/>
      <c r="X221" s="250"/>
      <c r="Y221" s="251"/>
      <c r="Z221" s="252"/>
      <c r="AA221" s="252"/>
      <c r="AB221" s="12"/>
      <c r="AC221" s="12"/>
    </row>
    <row r="222" spans="1:29" s="253" customFormat="1" ht="12.75">
      <c r="A222" s="10">
        <f>A221+1</f>
        <v>162</v>
      </c>
      <c r="B222" s="89" t="s">
        <v>721</v>
      </c>
      <c r="C222" s="97">
        <f>D222+K222+M222+O222+Q222+S222+U222+V222+W222+X222</f>
        <v>594523</v>
      </c>
      <c r="D222" s="86">
        <f>E222+F222+G222+H222+I222</f>
        <v>594523</v>
      </c>
      <c r="E222" s="249">
        <v>594523</v>
      </c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19"/>
      <c r="W222" s="86"/>
      <c r="X222" s="250"/>
      <c r="Y222" s="251"/>
      <c r="Z222" s="252"/>
      <c r="AA222" s="252"/>
      <c r="AB222" s="12"/>
      <c r="AC222" s="12"/>
    </row>
    <row r="223" spans="1:29" s="253" customFormat="1" ht="12.75">
      <c r="A223" s="10">
        <f>A222+1</f>
        <v>163</v>
      </c>
      <c r="B223" s="89" t="s">
        <v>722</v>
      </c>
      <c r="C223" s="97">
        <f>D223+K223+M223+O223+Q223+S223+U223+V223+W223+X223</f>
        <v>349545</v>
      </c>
      <c r="D223" s="86">
        <f>E223+F223+G223+H223+I223</f>
        <v>349545</v>
      </c>
      <c r="E223" s="249">
        <v>349545</v>
      </c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19"/>
      <c r="W223" s="86"/>
      <c r="X223" s="250"/>
      <c r="Y223" s="251"/>
      <c r="Z223" s="252"/>
      <c r="AA223" s="252"/>
      <c r="AB223" s="12"/>
      <c r="AC223" s="12"/>
    </row>
    <row r="224" spans="1:29" s="253" customFormat="1" ht="12.75">
      <c r="A224" s="117" t="s">
        <v>597</v>
      </c>
      <c r="B224" s="117"/>
      <c r="C224" s="86">
        <f>SUM(C221:C223)</f>
        <v>1360568</v>
      </c>
      <c r="D224" s="86">
        <f aca="true" t="shared" si="46" ref="D224:X224">SUM(D221:D223)</f>
        <v>1360568</v>
      </c>
      <c r="E224" s="86">
        <f t="shared" si="46"/>
        <v>1360568</v>
      </c>
      <c r="F224" s="86">
        <f t="shared" si="46"/>
        <v>0</v>
      </c>
      <c r="G224" s="86">
        <f t="shared" si="46"/>
        <v>0</v>
      </c>
      <c r="H224" s="86">
        <f t="shared" si="46"/>
        <v>0</v>
      </c>
      <c r="I224" s="86">
        <f t="shared" si="46"/>
        <v>0</v>
      </c>
      <c r="J224" s="86">
        <f t="shared" si="46"/>
        <v>0</v>
      </c>
      <c r="K224" s="86">
        <f t="shared" si="46"/>
        <v>0</v>
      </c>
      <c r="L224" s="86">
        <f t="shared" si="46"/>
        <v>0</v>
      </c>
      <c r="M224" s="86">
        <f t="shared" si="46"/>
        <v>0</v>
      </c>
      <c r="N224" s="86">
        <f t="shared" si="46"/>
        <v>0</v>
      </c>
      <c r="O224" s="86">
        <f t="shared" si="46"/>
        <v>0</v>
      </c>
      <c r="P224" s="86">
        <f t="shared" si="46"/>
        <v>0</v>
      </c>
      <c r="Q224" s="86">
        <f t="shared" si="46"/>
        <v>0</v>
      </c>
      <c r="R224" s="86">
        <f t="shared" si="46"/>
        <v>0</v>
      </c>
      <c r="S224" s="86">
        <f t="shared" si="46"/>
        <v>0</v>
      </c>
      <c r="T224" s="86">
        <f t="shared" si="46"/>
        <v>0</v>
      </c>
      <c r="U224" s="86">
        <f t="shared" si="46"/>
        <v>0</v>
      </c>
      <c r="V224" s="86">
        <f t="shared" si="46"/>
        <v>0</v>
      </c>
      <c r="W224" s="86">
        <f t="shared" si="46"/>
        <v>0</v>
      </c>
      <c r="X224" s="86">
        <f t="shared" si="46"/>
        <v>0</v>
      </c>
      <c r="Y224" s="14"/>
      <c r="Z224" s="12"/>
      <c r="AA224" s="252"/>
      <c r="AB224" s="12"/>
      <c r="AC224" s="12"/>
    </row>
    <row r="225" spans="1:29" ht="12.75" customHeight="1">
      <c r="A225" s="123" t="s">
        <v>615</v>
      </c>
      <c r="B225" s="123"/>
      <c r="C225" s="81">
        <f aca="true" t="shared" si="47" ref="C225:X225">C219+C198+C224+C192</f>
        <v>83193244</v>
      </c>
      <c r="D225" s="81">
        <f t="shared" si="47"/>
        <v>13385620</v>
      </c>
      <c r="E225" s="81">
        <f t="shared" si="47"/>
        <v>8591986</v>
      </c>
      <c r="F225" s="81">
        <f t="shared" si="47"/>
        <v>0</v>
      </c>
      <c r="G225" s="81">
        <f t="shared" si="47"/>
        <v>0</v>
      </c>
      <c r="H225" s="81">
        <f t="shared" si="47"/>
        <v>4793634</v>
      </c>
      <c r="I225" s="81">
        <f t="shared" si="47"/>
        <v>0</v>
      </c>
      <c r="J225" s="51">
        <f t="shared" si="47"/>
        <v>14</v>
      </c>
      <c r="K225" s="81">
        <f t="shared" si="47"/>
        <v>39200000</v>
      </c>
      <c r="L225" s="81">
        <f t="shared" si="47"/>
        <v>5094</v>
      </c>
      <c r="M225" s="81">
        <f t="shared" si="47"/>
        <v>15453153</v>
      </c>
      <c r="N225" s="81">
        <f t="shared" si="47"/>
        <v>0</v>
      </c>
      <c r="O225" s="81">
        <f t="shared" si="47"/>
        <v>0</v>
      </c>
      <c r="P225" s="81">
        <f t="shared" si="47"/>
        <v>4644</v>
      </c>
      <c r="Q225" s="81">
        <f t="shared" si="47"/>
        <v>5441949</v>
      </c>
      <c r="R225" s="81">
        <f t="shared" si="47"/>
        <v>0</v>
      </c>
      <c r="S225" s="81">
        <f t="shared" si="47"/>
        <v>0</v>
      </c>
      <c r="T225" s="81">
        <f t="shared" si="47"/>
        <v>0</v>
      </c>
      <c r="U225" s="81">
        <f t="shared" si="47"/>
        <v>0</v>
      </c>
      <c r="V225" s="81">
        <f t="shared" si="47"/>
        <v>348369</v>
      </c>
      <c r="W225" s="81">
        <f t="shared" si="47"/>
        <v>9364153</v>
      </c>
      <c r="X225" s="81">
        <f t="shared" si="47"/>
        <v>0</v>
      </c>
      <c r="Y225" s="14"/>
      <c r="Z225" s="12"/>
      <c r="AA225" s="12"/>
      <c r="AB225" s="12"/>
      <c r="AC225" s="12"/>
    </row>
    <row r="226" spans="1:29" ht="12.75" customHeight="1">
      <c r="A226" s="133" t="s">
        <v>616</v>
      </c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4"/>
      <c r="Z226" s="12"/>
      <c r="AB226" s="12"/>
      <c r="AC226" s="12"/>
    </row>
    <row r="227" spans="1:29" ht="12.75" customHeight="1">
      <c r="A227" s="123" t="s">
        <v>617</v>
      </c>
      <c r="B227" s="123"/>
      <c r="C227" s="123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4"/>
      <c r="Z227" s="12"/>
      <c r="AB227" s="12"/>
      <c r="AC227" s="12"/>
    </row>
    <row r="228" spans="1:29" ht="12.75" customHeight="1">
      <c r="A228" s="96">
        <f>A223+1</f>
        <v>164</v>
      </c>
      <c r="B228" s="89" t="s">
        <v>227</v>
      </c>
      <c r="C228" s="97">
        <f aca="true" t="shared" si="48" ref="C228:C239">D228+K228+M228+O228+Q228+S228+U228+V228+W228+X228</f>
        <v>1031268</v>
      </c>
      <c r="D228" s="86">
        <f aca="true" t="shared" si="49" ref="D228:D239">E228+F228+G228+H228+I228</f>
        <v>0</v>
      </c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6">
        <f>337936+507931+185401</f>
        <v>1031268</v>
      </c>
      <c r="X228" s="81"/>
      <c r="Y228" s="84"/>
      <c r="Z228" s="12"/>
      <c r="AB228" s="12"/>
      <c r="AC228" s="12"/>
    </row>
    <row r="229" spans="1:29" ht="12.75" customHeight="1">
      <c r="A229" s="10">
        <f>A228+1</f>
        <v>165</v>
      </c>
      <c r="B229" s="13" t="s">
        <v>818</v>
      </c>
      <c r="C229" s="97">
        <f t="shared" si="48"/>
        <v>5669558</v>
      </c>
      <c r="D229" s="86">
        <f>E229+F229+G229+H229+I229</f>
        <v>0</v>
      </c>
      <c r="E229" s="86"/>
      <c r="F229" s="86"/>
      <c r="G229" s="86"/>
      <c r="H229" s="86"/>
      <c r="I229" s="86"/>
      <c r="J229" s="10"/>
      <c r="K229" s="86"/>
      <c r="L229" s="86">
        <v>443</v>
      </c>
      <c r="M229" s="86">
        <v>1209244</v>
      </c>
      <c r="N229" s="86"/>
      <c r="O229" s="86"/>
      <c r="P229" s="86">
        <v>2156</v>
      </c>
      <c r="Q229" s="86">
        <v>4460314</v>
      </c>
      <c r="R229" s="86"/>
      <c r="S229" s="86"/>
      <c r="T229" s="86"/>
      <c r="U229" s="86"/>
      <c r="V229" s="97"/>
      <c r="W229" s="86"/>
      <c r="X229" s="97"/>
      <c r="Y229" s="14"/>
      <c r="Z229" s="12"/>
      <c r="AB229" s="12"/>
      <c r="AC229" s="12"/>
    </row>
    <row r="230" spans="1:29" ht="12.75" customHeight="1">
      <c r="A230" s="10">
        <f aca="true" t="shared" si="50" ref="A230:A239">A229+1</f>
        <v>166</v>
      </c>
      <c r="B230" s="13" t="s">
        <v>228</v>
      </c>
      <c r="C230" s="97">
        <f t="shared" si="48"/>
        <v>2799136</v>
      </c>
      <c r="D230" s="86">
        <f t="shared" si="49"/>
        <v>0</v>
      </c>
      <c r="E230" s="86"/>
      <c r="F230" s="86"/>
      <c r="G230" s="86"/>
      <c r="H230" s="86"/>
      <c r="I230" s="86"/>
      <c r="J230" s="10"/>
      <c r="K230" s="86"/>
      <c r="L230" s="86">
        <v>579</v>
      </c>
      <c r="M230" s="86">
        <v>2577693</v>
      </c>
      <c r="N230" s="86"/>
      <c r="O230" s="86"/>
      <c r="P230" s="86"/>
      <c r="Q230" s="86"/>
      <c r="R230" s="86"/>
      <c r="S230" s="86"/>
      <c r="T230" s="86"/>
      <c r="U230" s="86"/>
      <c r="V230" s="97"/>
      <c r="W230" s="97">
        <f>122056+99387</f>
        <v>221443</v>
      </c>
      <c r="X230" s="97"/>
      <c r="Y230" s="14"/>
      <c r="Z230" s="12"/>
      <c r="AB230" s="12"/>
      <c r="AC230" s="12"/>
    </row>
    <row r="231" spans="1:29" ht="12.75" customHeight="1">
      <c r="A231" s="10">
        <f t="shared" si="50"/>
        <v>167</v>
      </c>
      <c r="B231" s="13" t="s">
        <v>229</v>
      </c>
      <c r="C231" s="97">
        <f t="shared" si="48"/>
        <v>780539</v>
      </c>
      <c r="D231" s="86">
        <f t="shared" si="49"/>
        <v>0</v>
      </c>
      <c r="E231" s="86"/>
      <c r="F231" s="86"/>
      <c r="G231" s="86"/>
      <c r="H231" s="86"/>
      <c r="I231" s="86"/>
      <c r="J231" s="10"/>
      <c r="K231" s="86"/>
      <c r="L231" s="86">
        <v>227.5</v>
      </c>
      <c r="M231" s="86">
        <v>780539</v>
      </c>
      <c r="N231" s="86"/>
      <c r="O231" s="86"/>
      <c r="P231" s="86"/>
      <c r="Q231" s="86"/>
      <c r="R231" s="86"/>
      <c r="S231" s="86"/>
      <c r="T231" s="86"/>
      <c r="U231" s="86"/>
      <c r="V231" s="97"/>
      <c r="W231" s="97"/>
      <c r="X231" s="97"/>
      <c r="Y231" s="14"/>
      <c r="Z231" s="12"/>
      <c r="AB231" s="12"/>
      <c r="AC231" s="12"/>
    </row>
    <row r="232" spans="1:29" ht="12.75" customHeight="1">
      <c r="A232" s="10">
        <f t="shared" si="50"/>
        <v>168</v>
      </c>
      <c r="B232" s="13" t="s">
        <v>225</v>
      </c>
      <c r="C232" s="97">
        <f t="shared" si="48"/>
        <v>1749892</v>
      </c>
      <c r="D232" s="86">
        <f t="shared" si="49"/>
        <v>0</v>
      </c>
      <c r="E232" s="86"/>
      <c r="F232" s="86"/>
      <c r="G232" s="86"/>
      <c r="H232" s="86"/>
      <c r="I232" s="86"/>
      <c r="J232" s="10"/>
      <c r="K232" s="86"/>
      <c r="L232" s="86">
        <v>374</v>
      </c>
      <c r="M232" s="86">
        <v>1586116</v>
      </c>
      <c r="N232" s="86"/>
      <c r="O232" s="86"/>
      <c r="P232" s="86"/>
      <c r="Q232" s="86"/>
      <c r="R232" s="86"/>
      <c r="S232" s="86"/>
      <c r="T232" s="86"/>
      <c r="U232" s="86"/>
      <c r="V232" s="97"/>
      <c r="W232" s="97">
        <f>87102+76674</f>
        <v>163776</v>
      </c>
      <c r="X232" s="97"/>
      <c r="Y232" s="14"/>
      <c r="Z232" s="12"/>
      <c r="AB232" s="12"/>
      <c r="AC232" s="12"/>
    </row>
    <row r="233" spans="1:29" ht="12.75" customHeight="1">
      <c r="A233" s="10">
        <f t="shared" si="50"/>
        <v>169</v>
      </c>
      <c r="B233" s="13" t="s">
        <v>226</v>
      </c>
      <c r="C233" s="97">
        <f t="shared" si="48"/>
        <v>3022641</v>
      </c>
      <c r="D233" s="86">
        <f t="shared" si="49"/>
        <v>0</v>
      </c>
      <c r="E233" s="86"/>
      <c r="F233" s="86"/>
      <c r="G233" s="86"/>
      <c r="H233" s="86"/>
      <c r="I233" s="86"/>
      <c r="J233" s="10">
        <v>1</v>
      </c>
      <c r="K233" s="86">
        <v>2800000</v>
      </c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97"/>
      <c r="W233" s="97">
        <v>222641</v>
      </c>
      <c r="X233" s="97"/>
      <c r="Y233" s="14"/>
      <c r="Z233" s="12"/>
      <c r="AB233" s="12"/>
      <c r="AC233" s="12"/>
    </row>
    <row r="234" spans="1:29" s="253" customFormat="1" ht="12.75">
      <c r="A234" s="10">
        <f t="shared" si="50"/>
        <v>170</v>
      </c>
      <c r="B234" s="89" t="s">
        <v>723</v>
      </c>
      <c r="C234" s="97">
        <f t="shared" si="48"/>
        <v>8227643</v>
      </c>
      <c r="D234" s="86">
        <f>E234+F234+G234+H234+I234</f>
        <v>7848387</v>
      </c>
      <c r="E234" s="86"/>
      <c r="F234" s="249">
        <v>5677338</v>
      </c>
      <c r="G234" s="249">
        <v>473140</v>
      </c>
      <c r="H234" s="249">
        <v>1248417</v>
      </c>
      <c r="I234" s="249">
        <v>449492</v>
      </c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249">
        <v>379256</v>
      </c>
      <c r="W234" s="97"/>
      <c r="X234" s="250"/>
      <c r="Y234" s="251"/>
      <c r="Z234" s="252"/>
      <c r="AA234" s="252"/>
      <c r="AB234" s="12"/>
      <c r="AC234" s="12"/>
    </row>
    <row r="235" spans="1:29" ht="12.75" customHeight="1">
      <c r="A235" s="10">
        <f t="shared" si="50"/>
        <v>171</v>
      </c>
      <c r="B235" s="13" t="s">
        <v>224</v>
      </c>
      <c r="C235" s="97">
        <f t="shared" si="48"/>
        <v>4944824</v>
      </c>
      <c r="D235" s="86">
        <f t="shared" si="49"/>
        <v>0</v>
      </c>
      <c r="E235" s="86"/>
      <c r="F235" s="86"/>
      <c r="G235" s="86"/>
      <c r="H235" s="86"/>
      <c r="I235" s="86"/>
      <c r="J235" s="10"/>
      <c r="K235" s="86"/>
      <c r="L235" s="86">
        <v>1450</v>
      </c>
      <c r="M235" s="86">
        <v>4944824</v>
      </c>
      <c r="N235" s="86"/>
      <c r="O235" s="86"/>
      <c r="P235" s="86"/>
      <c r="Q235" s="86"/>
      <c r="R235" s="86"/>
      <c r="S235" s="86"/>
      <c r="T235" s="86"/>
      <c r="U235" s="86"/>
      <c r="V235" s="97"/>
      <c r="W235" s="97"/>
      <c r="X235" s="97"/>
      <c r="Y235" s="14"/>
      <c r="Z235" s="12"/>
      <c r="AB235" s="12"/>
      <c r="AC235" s="12"/>
    </row>
    <row r="236" spans="1:29" s="253" customFormat="1" ht="12.75">
      <c r="A236" s="10">
        <f t="shared" si="50"/>
        <v>172</v>
      </c>
      <c r="B236" s="89" t="s">
        <v>724</v>
      </c>
      <c r="C236" s="97">
        <f t="shared" si="48"/>
        <v>5382546</v>
      </c>
      <c r="D236" s="86">
        <f>E236+F236+G236+H236+I236</f>
        <v>5020917</v>
      </c>
      <c r="E236" s="86"/>
      <c r="F236" s="249">
        <v>3732002</v>
      </c>
      <c r="G236" s="249">
        <v>438900</v>
      </c>
      <c r="H236" s="249">
        <v>510092</v>
      </c>
      <c r="I236" s="249">
        <v>339923</v>
      </c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249">
        <v>361629</v>
      </c>
      <c r="W236" s="97"/>
      <c r="X236" s="250"/>
      <c r="Y236" s="251"/>
      <c r="Z236" s="252"/>
      <c r="AA236" s="252"/>
      <c r="AB236" s="12"/>
      <c r="AC236" s="12"/>
    </row>
    <row r="237" spans="1:29" s="253" customFormat="1" ht="12.75">
      <c r="A237" s="10">
        <f t="shared" si="50"/>
        <v>173</v>
      </c>
      <c r="B237" s="82" t="s">
        <v>725</v>
      </c>
      <c r="C237" s="97">
        <f t="shared" si="48"/>
        <v>5401901</v>
      </c>
      <c r="D237" s="86">
        <f>E237+F237+G237+H237+I237</f>
        <v>5401901</v>
      </c>
      <c r="E237" s="86"/>
      <c r="F237" s="249">
        <v>3831125</v>
      </c>
      <c r="G237" s="249">
        <v>359045</v>
      </c>
      <c r="H237" s="249">
        <v>922796</v>
      </c>
      <c r="I237" s="249">
        <v>288935</v>
      </c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97"/>
      <c r="W237" s="97"/>
      <c r="X237" s="250"/>
      <c r="Y237" s="251"/>
      <c r="Z237" s="252"/>
      <c r="AA237" s="252"/>
      <c r="AB237" s="12"/>
      <c r="AC237" s="12"/>
    </row>
    <row r="238" spans="1:29" ht="12.75" customHeight="1">
      <c r="A238" s="10">
        <f t="shared" si="50"/>
        <v>174</v>
      </c>
      <c r="B238" s="13" t="s">
        <v>805</v>
      </c>
      <c r="C238" s="97">
        <f t="shared" si="48"/>
        <v>8736189</v>
      </c>
      <c r="D238" s="86">
        <f>E238+F238+G238+H238+I238</f>
        <v>0</v>
      </c>
      <c r="E238" s="86"/>
      <c r="F238" s="86"/>
      <c r="G238" s="86"/>
      <c r="H238" s="86"/>
      <c r="I238" s="86"/>
      <c r="J238" s="10">
        <v>1</v>
      </c>
      <c r="K238" s="86">
        <v>2390000</v>
      </c>
      <c r="L238" s="86">
        <v>1213.7</v>
      </c>
      <c r="M238" s="86">
        <v>1459491</v>
      </c>
      <c r="N238" s="86"/>
      <c r="O238" s="86"/>
      <c r="P238" s="86">
        <v>5914.2</v>
      </c>
      <c r="Q238" s="86">
        <v>4664057</v>
      </c>
      <c r="R238" s="86"/>
      <c r="S238" s="86"/>
      <c r="T238" s="86"/>
      <c r="U238" s="86"/>
      <c r="V238" s="97"/>
      <c r="W238" s="97">
        <v>222641</v>
      </c>
      <c r="X238" s="97"/>
      <c r="Y238" s="14"/>
      <c r="Z238" s="12"/>
      <c r="AB238" s="12"/>
      <c r="AC238" s="12"/>
    </row>
    <row r="239" spans="1:29" ht="12.75" customHeight="1">
      <c r="A239" s="10">
        <f t="shared" si="50"/>
        <v>175</v>
      </c>
      <c r="B239" s="13" t="s">
        <v>223</v>
      </c>
      <c r="C239" s="97">
        <f t="shared" si="48"/>
        <v>1637539</v>
      </c>
      <c r="D239" s="86">
        <f t="shared" si="49"/>
        <v>0</v>
      </c>
      <c r="E239" s="86"/>
      <c r="F239" s="86"/>
      <c r="G239" s="86"/>
      <c r="H239" s="86"/>
      <c r="I239" s="86"/>
      <c r="J239" s="10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97"/>
      <c r="W239" s="86">
        <v>1637539</v>
      </c>
      <c r="X239" s="97"/>
      <c r="Y239" s="14"/>
      <c r="Z239" s="12"/>
      <c r="AB239" s="12"/>
      <c r="AC239" s="12"/>
    </row>
    <row r="240" spans="1:29" ht="12.75" customHeight="1">
      <c r="A240" s="130" t="s">
        <v>597</v>
      </c>
      <c r="B240" s="130"/>
      <c r="C240" s="97">
        <f>SUM(C228:C239)</f>
        <v>49383676</v>
      </c>
      <c r="D240" s="97">
        <f aca="true" t="shared" si="51" ref="D240:X240">SUM(D228:D239)</f>
        <v>18271205</v>
      </c>
      <c r="E240" s="97">
        <f t="shared" si="51"/>
        <v>0</v>
      </c>
      <c r="F240" s="97">
        <f t="shared" si="51"/>
        <v>13240465</v>
      </c>
      <c r="G240" s="97">
        <f t="shared" si="51"/>
        <v>1271085</v>
      </c>
      <c r="H240" s="97">
        <f t="shared" si="51"/>
        <v>2681305</v>
      </c>
      <c r="I240" s="97">
        <f t="shared" si="51"/>
        <v>1078350</v>
      </c>
      <c r="J240" s="96">
        <f t="shared" si="51"/>
        <v>2</v>
      </c>
      <c r="K240" s="97">
        <f t="shared" si="51"/>
        <v>5190000</v>
      </c>
      <c r="L240" s="97">
        <f t="shared" si="51"/>
        <v>4287.2</v>
      </c>
      <c r="M240" s="97">
        <f t="shared" si="51"/>
        <v>12557907</v>
      </c>
      <c r="N240" s="97">
        <f t="shared" si="51"/>
        <v>0</v>
      </c>
      <c r="O240" s="97">
        <f t="shared" si="51"/>
        <v>0</v>
      </c>
      <c r="P240" s="97">
        <f t="shared" si="51"/>
        <v>8070.2</v>
      </c>
      <c r="Q240" s="97">
        <f t="shared" si="51"/>
        <v>9124371</v>
      </c>
      <c r="R240" s="97">
        <f t="shared" si="51"/>
        <v>0</v>
      </c>
      <c r="S240" s="97">
        <f t="shared" si="51"/>
        <v>0</v>
      </c>
      <c r="T240" s="97">
        <f t="shared" si="51"/>
        <v>0</v>
      </c>
      <c r="U240" s="97">
        <f t="shared" si="51"/>
        <v>0</v>
      </c>
      <c r="V240" s="97">
        <f t="shared" si="51"/>
        <v>740885</v>
      </c>
      <c r="W240" s="97">
        <f t="shared" si="51"/>
        <v>3499308</v>
      </c>
      <c r="X240" s="97">
        <f t="shared" si="51"/>
        <v>0</v>
      </c>
      <c r="Y240" s="14"/>
      <c r="Z240" s="12"/>
      <c r="AA240" s="12"/>
      <c r="AB240" s="12"/>
      <c r="AC240" s="12"/>
    </row>
    <row r="241" spans="1:29" ht="12.75" customHeight="1">
      <c r="A241" s="123" t="s">
        <v>618</v>
      </c>
      <c r="B241" s="123"/>
      <c r="C241" s="123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4"/>
      <c r="Z241" s="12"/>
      <c r="AB241" s="12"/>
      <c r="AC241" s="12"/>
    </row>
    <row r="242" spans="1:29" ht="12.75" customHeight="1">
      <c r="A242" s="10">
        <f>A239+1</f>
        <v>176</v>
      </c>
      <c r="B242" s="13" t="s">
        <v>244</v>
      </c>
      <c r="C242" s="97">
        <f aca="true" t="shared" si="52" ref="C242:C257">D242+K242+M242+O242+Q242+S242+U242+V242+W242+X242</f>
        <v>1109330</v>
      </c>
      <c r="D242" s="86">
        <f aca="true" t="shared" si="53" ref="D242:D257">E242+F242+G242+H242+I242</f>
        <v>0</v>
      </c>
      <c r="E242" s="86"/>
      <c r="F242" s="86"/>
      <c r="G242" s="86"/>
      <c r="H242" s="86"/>
      <c r="I242" s="86"/>
      <c r="J242" s="86"/>
      <c r="K242" s="86"/>
      <c r="L242" s="97"/>
      <c r="M242" s="86"/>
      <c r="N242" s="97"/>
      <c r="O242" s="86"/>
      <c r="P242" s="97">
        <v>511</v>
      </c>
      <c r="Q242" s="86">
        <v>1013193</v>
      </c>
      <c r="R242" s="86"/>
      <c r="S242" s="86"/>
      <c r="T242" s="86"/>
      <c r="U242" s="86"/>
      <c r="V242" s="97"/>
      <c r="W242" s="86">
        <v>96137</v>
      </c>
      <c r="X242" s="86"/>
      <c r="Y242" s="14"/>
      <c r="Z242" s="12"/>
      <c r="AB242" s="12"/>
      <c r="AC242" s="12"/>
    </row>
    <row r="243" spans="1:29" ht="12.75" customHeight="1">
      <c r="A243" s="10">
        <f>A242+1</f>
        <v>177</v>
      </c>
      <c r="B243" s="13" t="s">
        <v>245</v>
      </c>
      <c r="C243" s="97">
        <f t="shared" si="52"/>
        <v>111430</v>
      </c>
      <c r="D243" s="86">
        <f t="shared" si="53"/>
        <v>0</v>
      </c>
      <c r="E243" s="86"/>
      <c r="F243" s="86"/>
      <c r="G243" s="86"/>
      <c r="H243" s="86"/>
      <c r="I243" s="86"/>
      <c r="J243" s="86"/>
      <c r="K243" s="86"/>
      <c r="L243" s="97"/>
      <c r="M243" s="86"/>
      <c r="N243" s="97"/>
      <c r="O243" s="86"/>
      <c r="P243" s="97">
        <v>533</v>
      </c>
      <c r="Q243" s="86">
        <v>111430</v>
      </c>
      <c r="R243" s="86"/>
      <c r="S243" s="86"/>
      <c r="T243" s="86"/>
      <c r="U243" s="86"/>
      <c r="V243" s="97"/>
      <c r="W243" s="97"/>
      <c r="X243" s="97"/>
      <c r="Y243" s="14"/>
      <c r="Z243" s="12"/>
      <c r="AB243" s="12"/>
      <c r="AC243" s="12"/>
    </row>
    <row r="244" spans="1:29" ht="12.75" customHeight="1">
      <c r="A244" s="10">
        <f aca="true" t="shared" si="54" ref="A244:A257">A243+1</f>
        <v>178</v>
      </c>
      <c r="B244" s="13" t="s">
        <v>774</v>
      </c>
      <c r="C244" s="97">
        <f>D244+K244+M244+O244+Q244+S244+U244+V244+W244+X244</f>
        <v>2534995</v>
      </c>
      <c r="D244" s="86">
        <f>E244+F244+G244+H244+I244</f>
        <v>0</v>
      </c>
      <c r="E244" s="86"/>
      <c r="F244" s="86"/>
      <c r="G244" s="86"/>
      <c r="H244" s="86"/>
      <c r="I244" s="86"/>
      <c r="J244" s="86"/>
      <c r="K244" s="86"/>
      <c r="L244" s="97"/>
      <c r="M244" s="86"/>
      <c r="N244" s="97"/>
      <c r="O244" s="86"/>
      <c r="P244" s="97">
        <v>414</v>
      </c>
      <c r="Q244" s="86">
        <v>2467855</v>
      </c>
      <c r="R244" s="86"/>
      <c r="S244" s="97"/>
      <c r="T244" s="86"/>
      <c r="U244" s="86"/>
      <c r="V244" s="97"/>
      <c r="W244" s="97">
        <v>67140</v>
      </c>
      <c r="X244" s="97"/>
      <c r="Y244" s="14"/>
      <c r="Z244" s="12"/>
      <c r="AB244" s="12"/>
      <c r="AC244" s="12"/>
    </row>
    <row r="245" spans="1:29" ht="12.75" customHeight="1">
      <c r="A245" s="10">
        <f t="shared" si="54"/>
        <v>179</v>
      </c>
      <c r="B245" s="13" t="s">
        <v>242</v>
      </c>
      <c r="C245" s="97">
        <f>D245+K245+M245+O245+Q245+S245+U245+V245+W245+X245</f>
        <v>662050</v>
      </c>
      <c r="D245" s="86">
        <f>E245+F245+G245+H245+I245</f>
        <v>0</v>
      </c>
      <c r="E245" s="86"/>
      <c r="F245" s="86"/>
      <c r="G245" s="86"/>
      <c r="H245" s="86"/>
      <c r="I245" s="86"/>
      <c r="J245" s="86"/>
      <c r="K245" s="86"/>
      <c r="L245" s="97"/>
      <c r="M245" s="86"/>
      <c r="N245" s="86"/>
      <c r="O245" s="86"/>
      <c r="P245" s="86">
        <v>320</v>
      </c>
      <c r="Q245" s="86">
        <v>662050</v>
      </c>
      <c r="R245" s="86"/>
      <c r="S245" s="86"/>
      <c r="T245" s="86"/>
      <c r="U245" s="86"/>
      <c r="V245" s="97"/>
      <c r="W245" s="97"/>
      <c r="X245" s="97"/>
      <c r="Y245" s="14"/>
      <c r="Z245" s="12"/>
      <c r="AB245" s="12"/>
      <c r="AC245" s="12"/>
    </row>
    <row r="246" spans="1:29" ht="12.75" customHeight="1">
      <c r="A246" s="10">
        <f t="shared" si="54"/>
        <v>180</v>
      </c>
      <c r="B246" s="13" t="s">
        <v>243</v>
      </c>
      <c r="C246" s="97">
        <f t="shared" si="52"/>
        <v>1030330</v>
      </c>
      <c r="D246" s="86">
        <f t="shared" si="53"/>
        <v>0</v>
      </c>
      <c r="E246" s="86"/>
      <c r="F246" s="86"/>
      <c r="G246" s="86"/>
      <c r="H246" s="86"/>
      <c r="I246" s="86"/>
      <c r="J246" s="86"/>
      <c r="K246" s="86"/>
      <c r="L246" s="97"/>
      <c r="M246" s="86"/>
      <c r="N246" s="97"/>
      <c r="O246" s="86"/>
      <c r="P246" s="97">
        <v>244</v>
      </c>
      <c r="Q246" s="86">
        <v>1030330</v>
      </c>
      <c r="R246" s="86"/>
      <c r="S246" s="86"/>
      <c r="T246" s="86"/>
      <c r="U246" s="86"/>
      <c r="V246" s="97"/>
      <c r="W246" s="97"/>
      <c r="X246" s="97"/>
      <c r="Y246" s="14"/>
      <c r="Z246" s="12"/>
      <c r="AB246" s="12"/>
      <c r="AC246" s="12"/>
    </row>
    <row r="247" spans="1:29" ht="12.75">
      <c r="A247" s="10">
        <f t="shared" si="54"/>
        <v>181</v>
      </c>
      <c r="B247" s="13" t="s">
        <v>236</v>
      </c>
      <c r="C247" s="97">
        <f t="shared" si="52"/>
        <v>1804688</v>
      </c>
      <c r="D247" s="86">
        <f t="shared" si="53"/>
        <v>0</v>
      </c>
      <c r="E247" s="86"/>
      <c r="F247" s="86"/>
      <c r="G247" s="86"/>
      <c r="H247" s="86"/>
      <c r="I247" s="86"/>
      <c r="J247" s="86"/>
      <c r="K247" s="86"/>
      <c r="L247" s="97">
        <v>427</v>
      </c>
      <c r="M247" s="86">
        <v>1804688</v>
      </c>
      <c r="N247" s="97"/>
      <c r="O247" s="86"/>
      <c r="P247" s="97"/>
      <c r="Q247" s="97"/>
      <c r="R247" s="86"/>
      <c r="S247" s="86"/>
      <c r="T247" s="86"/>
      <c r="U247" s="86"/>
      <c r="V247" s="97"/>
      <c r="W247" s="97"/>
      <c r="X247" s="97"/>
      <c r="Y247" s="14"/>
      <c r="Z247" s="12"/>
      <c r="AA247" s="12"/>
      <c r="AB247" s="12"/>
      <c r="AC247" s="12"/>
    </row>
    <row r="248" spans="1:29" ht="12.75" customHeight="1">
      <c r="A248" s="10">
        <f t="shared" si="54"/>
        <v>182</v>
      </c>
      <c r="B248" s="82" t="s">
        <v>237</v>
      </c>
      <c r="C248" s="97">
        <f t="shared" si="52"/>
        <v>107367</v>
      </c>
      <c r="D248" s="86">
        <f t="shared" si="53"/>
        <v>0</v>
      </c>
      <c r="E248" s="81"/>
      <c r="F248" s="81"/>
      <c r="G248" s="81"/>
      <c r="H248" s="81"/>
      <c r="I248" s="81"/>
      <c r="J248" s="81"/>
      <c r="K248" s="81"/>
      <c r="L248" s="86"/>
      <c r="M248" s="86"/>
      <c r="N248" s="81"/>
      <c r="O248" s="81"/>
      <c r="P248" s="81"/>
      <c r="Q248" s="81"/>
      <c r="R248" s="81"/>
      <c r="S248" s="81"/>
      <c r="T248" s="81"/>
      <c r="U248" s="81"/>
      <c r="V248" s="81"/>
      <c r="W248" s="86">
        <v>107367</v>
      </c>
      <c r="X248" s="81"/>
      <c r="Y248" s="14"/>
      <c r="Z248" s="12"/>
      <c r="AB248" s="12"/>
      <c r="AC248" s="12"/>
    </row>
    <row r="249" spans="1:29" ht="12.75" customHeight="1">
      <c r="A249" s="10">
        <f t="shared" si="54"/>
        <v>183</v>
      </c>
      <c r="B249" s="82" t="s">
        <v>238</v>
      </c>
      <c r="C249" s="97">
        <f t="shared" si="52"/>
        <v>85211</v>
      </c>
      <c r="D249" s="86">
        <f t="shared" si="53"/>
        <v>0</v>
      </c>
      <c r="E249" s="81"/>
      <c r="F249" s="81"/>
      <c r="G249" s="81"/>
      <c r="H249" s="81"/>
      <c r="I249" s="81"/>
      <c r="J249" s="81"/>
      <c r="K249" s="81"/>
      <c r="L249" s="86"/>
      <c r="M249" s="86"/>
      <c r="N249" s="81"/>
      <c r="O249" s="81"/>
      <c r="P249" s="81"/>
      <c r="Q249" s="81"/>
      <c r="R249" s="81"/>
      <c r="S249" s="81"/>
      <c r="T249" s="81"/>
      <c r="U249" s="81"/>
      <c r="V249" s="81"/>
      <c r="W249" s="86">
        <v>85211</v>
      </c>
      <c r="X249" s="81"/>
      <c r="Y249" s="14"/>
      <c r="Z249" s="12"/>
      <c r="AB249" s="12"/>
      <c r="AC249" s="12"/>
    </row>
    <row r="250" spans="1:29" ht="12.75" customHeight="1">
      <c r="A250" s="10">
        <f t="shared" si="54"/>
        <v>184</v>
      </c>
      <c r="B250" s="82" t="s">
        <v>239</v>
      </c>
      <c r="C250" s="97">
        <f t="shared" si="52"/>
        <v>85272</v>
      </c>
      <c r="D250" s="86">
        <f t="shared" si="53"/>
        <v>0</v>
      </c>
      <c r="E250" s="81"/>
      <c r="F250" s="81"/>
      <c r="G250" s="81"/>
      <c r="H250" s="81"/>
      <c r="I250" s="81"/>
      <c r="J250" s="81"/>
      <c r="K250" s="81"/>
      <c r="L250" s="86"/>
      <c r="M250" s="86"/>
      <c r="N250" s="81"/>
      <c r="O250" s="81"/>
      <c r="P250" s="81"/>
      <c r="Q250" s="81"/>
      <c r="R250" s="81"/>
      <c r="S250" s="81"/>
      <c r="T250" s="81"/>
      <c r="U250" s="81"/>
      <c r="V250" s="81"/>
      <c r="W250" s="86">
        <v>85272</v>
      </c>
      <c r="X250" s="81"/>
      <c r="Y250" s="14"/>
      <c r="Z250" s="12"/>
      <c r="AB250" s="12"/>
      <c r="AC250" s="12"/>
    </row>
    <row r="251" spans="1:29" ht="12.75" customHeight="1">
      <c r="A251" s="10">
        <f t="shared" si="54"/>
        <v>185</v>
      </c>
      <c r="B251" s="82" t="s">
        <v>240</v>
      </c>
      <c r="C251" s="97">
        <f t="shared" si="52"/>
        <v>84604</v>
      </c>
      <c r="D251" s="86">
        <f t="shared" si="53"/>
        <v>0</v>
      </c>
      <c r="E251" s="81"/>
      <c r="F251" s="81"/>
      <c r="G251" s="81"/>
      <c r="H251" s="81"/>
      <c r="I251" s="81"/>
      <c r="J251" s="81"/>
      <c r="K251" s="81"/>
      <c r="L251" s="86"/>
      <c r="M251" s="86"/>
      <c r="N251" s="81"/>
      <c r="O251" s="81"/>
      <c r="P251" s="81"/>
      <c r="Q251" s="81"/>
      <c r="R251" s="81"/>
      <c r="S251" s="81"/>
      <c r="T251" s="81"/>
      <c r="U251" s="81"/>
      <c r="V251" s="81"/>
      <c r="W251" s="86">
        <v>84604</v>
      </c>
      <c r="X251" s="81"/>
      <c r="Y251" s="14"/>
      <c r="Z251" s="12"/>
      <c r="AB251" s="12"/>
      <c r="AC251" s="12"/>
    </row>
    <row r="252" spans="1:29" ht="12.75" customHeight="1">
      <c r="A252" s="10">
        <f t="shared" si="54"/>
        <v>186</v>
      </c>
      <c r="B252" s="82" t="s">
        <v>241</v>
      </c>
      <c r="C252" s="97">
        <f t="shared" si="52"/>
        <v>2824598</v>
      </c>
      <c r="D252" s="86">
        <f t="shared" si="53"/>
        <v>0</v>
      </c>
      <c r="E252" s="81"/>
      <c r="F252" s="81"/>
      <c r="G252" s="81"/>
      <c r="H252" s="81"/>
      <c r="I252" s="81"/>
      <c r="J252" s="81"/>
      <c r="K252" s="81"/>
      <c r="L252" s="86">
        <v>675</v>
      </c>
      <c r="M252" s="86">
        <v>2824598</v>
      </c>
      <c r="N252" s="81"/>
      <c r="O252" s="81"/>
      <c r="P252" s="81"/>
      <c r="Q252" s="81"/>
      <c r="R252" s="81"/>
      <c r="S252" s="81"/>
      <c r="T252" s="81"/>
      <c r="U252" s="81"/>
      <c r="V252" s="81"/>
      <c r="W252" s="86"/>
      <c r="X252" s="81"/>
      <c r="Y252" s="14"/>
      <c r="Z252" s="12"/>
      <c r="AB252" s="12"/>
      <c r="AC252" s="12"/>
    </row>
    <row r="253" spans="1:29" ht="12.75" customHeight="1">
      <c r="A253" s="10">
        <f t="shared" si="54"/>
        <v>187</v>
      </c>
      <c r="B253" s="82" t="s">
        <v>235</v>
      </c>
      <c r="C253" s="97">
        <f t="shared" si="52"/>
        <v>99847</v>
      </c>
      <c r="D253" s="86">
        <f t="shared" si="53"/>
        <v>0</v>
      </c>
      <c r="E253" s="81"/>
      <c r="F253" s="81"/>
      <c r="G253" s="81"/>
      <c r="H253" s="81"/>
      <c r="I253" s="81"/>
      <c r="J253" s="81"/>
      <c r="K253" s="81"/>
      <c r="L253" s="86"/>
      <c r="M253" s="86"/>
      <c r="N253" s="81"/>
      <c r="O253" s="81"/>
      <c r="P253" s="81"/>
      <c r="Q253" s="81"/>
      <c r="R253" s="81"/>
      <c r="S253" s="81"/>
      <c r="T253" s="81"/>
      <c r="U253" s="81"/>
      <c r="V253" s="81"/>
      <c r="W253" s="86">
        <v>99847</v>
      </c>
      <c r="X253" s="81"/>
      <c r="Y253" s="14"/>
      <c r="Z253" s="12"/>
      <c r="AB253" s="12"/>
      <c r="AC253" s="12"/>
    </row>
    <row r="254" spans="1:29" ht="12.75" customHeight="1">
      <c r="A254" s="10">
        <f t="shared" si="54"/>
        <v>188</v>
      </c>
      <c r="B254" s="82" t="s">
        <v>232</v>
      </c>
      <c r="C254" s="97">
        <f t="shared" si="52"/>
        <v>4963172</v>
      </c>
      <c r="D254" s="86">
        <f t="shared" si="53"/>
        <v>0</v>
      </c>
      <c r="E254" s="81"/>
      <c r="F254" s="81"/>
      <c r="G254" s="81"/>
      <c r="H254" s="81"/>
      <c r="I254" s="81"/>
      <c r="J254" s="81"/>
      <c r="K254" s="81"/>
      <c r="L254" s="86"/>
      <c r="M254" s="86"/>
      <c r="N254" s="81"/>
      <c r="O254" s="81"/>
      <c r="P254" s="86">
        <v>938.4</v>
      </c>
      <c r="Q254" s="86">
        <v>4871171</v>
      </c>
      <c r="R254" s="81"/>
      <c r="S254" s="81"/>
      <c r="T254" s="81"/>
      <c r="U254" s="81"/>
      <c r="V254" s="81"/>
      <c r="W254" s="86">
        <f>92001</f>
        <v>92001</v>
      </c>
      <c r="X254" s="81"/>
      <c r="Y254" s="14"/>
      <c r="Z254" s="12"/>
      <c r="AB254" s="12"/>
      <c r="AC254" s="12"/>
    </row>
    <row r="255" spans="1:29" ht="12.75" customHeight="1">
      <c r="A255" s="10">
        <f t="shared" si="54"/>
        <v>189</v>
      </c>
      <c r="B255" s="82" t="s">
        <v>233</v>
      </c>
      <c r="C255" s="97">
        <f t="shared" si="52"/>
        <v>4945706</v>
      </c>
      <c r="D255" s="86">
        <f t="shared" si="53"/>
        <v>0</v>
      </c>
      <c r="E255" s="81"/>
      <c r="F255" s="81"/>
      <c r="G255" s="81"/>
      <c r="H255" s="81"/>
      <c r="I255" s="81"/>
      <c r="J255" s="81"/>
      <c r="K255" s="81"/>
      <c r="L255" s="86"/>
      <c r="M255" s="86"/>
      <c r="N255" s="81"/>
      <c r="O255" s="81"/>
      <c r="P255" s="86">
        <v>938.4</v>
      </c>
      <c r="Q255" s="86">
        <v>4852457</v>
      </c>
      <c r="R255" s="81"/>
      <c r="S255" s="81"/>
      <c r="T255" s="81"/>
      <c r="U255" s="81"/>
      <c r="V255" s="81"/>
      <c r="W255" s="86">
        <f>93249</f>
        <v>93249</v>
      </c>
      <c r="X255" s="81"/>
      <c r="Y255" s="14"/>
      <c r="Z255" s="12"/>
      <c r="AB255" s="12"/>
      <c r="AC255" s="12"/>
    </row>
    <row r="256" spans="1:29" ht="12.75">
      <c r="A256" s="10">
        <f t="shared" si="54"/>
        <v>190</v>
      </c>
      <c r="B256" s="13" t="s">
        <v>234</v>
      </c>
      <c r="C256" s="97">
        <f t="shared" si="52"/>
        <v>4852457</v>
      </c>
      <c r="D256" s="86">
        <f t="shared" si="53"/>
        <v>0</v>
      </c>
      <c r="E256" s="86"/>
      <c r="F256" s="86"/>
      <c r="G256" s="86"/>
      <c r="H256" s="86"/>
      <c r="I256" s="86"/>
      <c r="J256" s="86"/>
      <c r="K256" s="86"/>
      <c r="L256" s="97"/>
      <c r="M256" s="86"/>
      <c r="N256" s="86"/>
      <c r="O256" s="86"/>
      <c r="P256" s="86">
        <v>938.4</v>
      </c>
      <c r="Q256" s="97">
        <v>4852457</v>
      </c>
      <c r="R256" s="86"/>
      <c r="S256" s="86"/>
      <c r="T256" s="86"/>
      <c r="U256" s="86"/>
      <c r="V256" s="97"/>
      <c r="W256" s="97"/>
      <c r="X256" s="97"/>
      <c r="Y256" s="14"/>
      <c r="Z256" s="12"/>
      <c r="AA256" s="12"/>
      <c r="AB256" s="12"/>
      <c r="AC256" s="12"/>
    </row>
    <row r="257" spans="1:29" ht="12.75" customHeight="1">
      <c r="A257" s="10">
        <f t="shared" si="54"/>
        <v>191</v>
      </c>
      <c r="B257" s="13" t="s">
        <v>231</v>
      </c>
      <c r="C257" s="97">
        <f t="shared" si="52"/>
        <v>8281802</v>
      </c>
      <c r="D257" s="86">
        <f t="shared" si="53"/>
        <v>0</v>
      </c>
      <c r="E257" s="86"/>
      <c r="F257" s="86"/>
      <c r="G257" s="86"/>
      <c r="H257" s="86"/>
      <c r="I257" s="86"/>
      <c r="J257" s="86"/>
      <c r="K257" s="86"/>
      <c r="L257" s="97"/>
      <c r="M257" s="86"/>
      <c r="N257" s="86"/>
      <c r="O257" s="86"/>
      <c r="P257" s="86">
        <v>1453</v>
      </c>
      <c r="Q257" s="86">
        <v>8159895</v>
      </c>
      <c r="R257" s="86"/>
      <c r="S257" s="86"/>
      <c r="T257" s="86"/>
      <c r="U257" s="86"/>
      <c r="V257" s="97"/>
      <c r="W257" s="97">
        <v>121907</v>
      </c>
      <c r="X257" s="97"/>
      <c r="Y257" s="14"/>
      <c r="Z257" s="12"/>
      <c r="AB257" s="12"/>
      <c r="AC257" s="12"/>
    </row>
    <row r="258" spans="1:29" ht="12.75" customHeight="1">
      <c r="A258" s="130" t="s">
        <v>597</v>
      </c>
      <c r="B258" s="130"/>
      <c r="C258" s="97">
        <f aca="true" t="shared" si="55" ref="C258:X258">SUM(C242:C257)</f>
        <v>33582859</v>
      </c>
      <c r="D258" s="97">
        <f t="shared" si="55"/>
        <v>0</v>
      </c>
      <c r="E258" s="97">
        <f t="shared" si="55"/>
        <v>0</v>
      </c>
      <c r="F258" s="97">
        <f t="shared" si="55"/>
        <v>0</v>
      </c>
      <c r="G258" s="97">
        <f t="shared" si="55"/>
        <v>0</v>
      </c>
      <c r="H258" s="97">
        <f t="shared" si="55"/>
        <v>0</v>
      </c>
      <c r="I258" s="97">
        <f t="shared" si="55"/>
        <v>0</v>
      </c>
      <c r="J258" s="97">
        <f t="shared" si="55"/>
        <v>0</v>
      </c>
      <c r="K258" s="97">
        <f t="shared" si="55"/>
        <v>0</v>
      </c>
      <c r="L258" s="97">
        <f t="shared" si="55"/>
        <v>1102</v>
      </c>
      <c r="M258" s="97">
        <f t="shared" si="55"/>
        <v>4629286</v>
      </c>
      <c r="N258" s="97">
        <f t="shared" si="55"/>
        <v>0</v>
      </c>
      <c r="O258" s="97">
        <f t="shared" si="55"/>
        <v>0</v>
      </c>
      <c r="P258" s="97">
        <f t="shared" si="55"/>
        <v>6290.2</v>
      </c>
      <c r="Q258" s="97">
        <f t="shared" si="55"/>
        <v>28020838</v>
      </c>
      <c r="R258" s="97">
        <f t="shared" si="55"/>
        <v>0</v>
      </c>
      <c r="S258" s="97">
        <f t="shared" si="55"/>
        <v>0</v>
      </c>
      <c r="T258" s="97">
        <f t="shared" si="55"/>
        <v>0</v>
      </c>
      <c r="U258" s="97">
        <f t="shared" si="55"/>
        <v>0</v>
      </c>
      <c r="V258" s="97">
        <f t="shared" si="55"/>
        <v>0</v>
      </c>
      <c r="W258" s="97">
        <f t="shared" si="55"/>
        <v>932735</v>
      </c>
      <c r="X258" s="97">
        <f t="shared" si="55"/>
        <v>0</v>
      </c>
      <c r="Y258" s="14"/>
      <c r="Z258" s="12"/>
      <c r="AA258" s="12"/>
      <c r="AB258" s="12"/>
      <c r="AC258" s="12"/>
    </row>
    <row r="259" spans="1:29" ht="12.75" customHeight="1">
      <c r="A259" s="123" t="s">
        <v>681</v>
      </c>
      <c r="B259" s="123"/>
      <c r="C259" s="123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4"/>
      <c r="Z259" s="12"/>
      <c r="AB259" s="12"/>
      <c r="AC259" s="12"/>
    </row>
    <row r="260" spans="1:29" ht="17.25" customHeight="1">
      <c r="A260" s="10">
        <f>A257+1</f>
        <v>192</v>
      </c>
      <c r="B260" s="13" t="s">
        <v>217</v>
      </c>
      <c r="C260" s="97">
        <f aca="true" t="shared" si="56" ref="C260:C265">D260+K260+M260+O260+Q260+S260+U260+V260+W260+X260</f>
        <v>816642</v>
      </c>
      <c r="D260" s="86">
        <f aca="true" t="shared" si="57" ref="D260:D265">E260+F260+G260+H260+I260</f>
        <v>0</v>
      </c>
      <c r="E260" s="86"/>
      <c r="F260" s="86"/>
      <c r="G260" s="86"/>
      <c r="H260" s="86"/>
      <c r="I260" s="86"/>
      <c r="J260" s="86"/>
      <c r="K260" s="86"/>
      <c r="L260" s="97"/>
      <c r="M260" s="86"/>
      <c r="N260" s="86"/>
      <c r="O260" s="86"/>
      <c r="P260" s="86"/>
      <c r="Q260" s="97"/>
      <c r="R260" s="86"/>
      <c r="S260" s="86"/>
      <c r="T260" s="86"/>
      <c r="U260" s="86"/>
      <c r="V260" s="97"/>
      <c r="W260" s="97">
        <v>816642</v>
      </c>
      <c r="X260" s="97"/>
      <c r="Y260" s="14"/>
      <c r="Z260" s="12"/>
      <c r="AA260" s="12"/>
      <c r="AB260" s="12"/>
      <c r="AC260" s="12"/>
    </row>
    <row r="261" spans="1:29" ht="17.25" customHeight="1">
      <c r="A261" s="10">
        <f>A260+1</f>
        <v>193</v>
      </c>
      <c r="B261" s="13" t="s">
        <v>221</v>
      </c>
      <c r="C261" s="97">
        <f t="shared" si="56"/>
        <v>1173025</v>
      </c>
      <c r="D261" s="86">
        <f t="shared" si="57"/>
        <v>0</v>
      </c>
      <c r="E261" s="86"/>
      <c r="F261" s="86"/>
      <c r="G261" s="86"/>
      <c r="H261" s="86"/>
      <c r="I261" s="86"/>
      <c r="J261" s="86"/>
      <c r="K261" s="86"/>
      <c r="L261" s="97"/>
      <c r="M261" s="86"/>
      <c r="N261" s="86"/>
      <c r="O261" s="86"/>
      <c r="P261" s="86"/>
      <c r="Q261" s="97"/>
      <c r="R261" s="86"/>
      <c r="S261" s="86"/>
      <c r="T261" s="86"/>
      <c r="U261" s="86"/>
      <c r="V261" s="97"/>
      <c r="W261" s="97">
        <v>1173025</v>
      </c>
      <c r="X261" s="97"/>
      <c r="Y261" s="14"/>
      <c r="Z261" s="12"/>
      <c r="AA261" s="12"/>
      <c r="AB261" s="12"/>
      <c r="AC261" s="12"/>
    </row>
    <row r="262" spans="1:29" ht="21.75" customHeight="1">
      <c r="A262" s="10">
        <f>A261+1</f>
        <v>194</v>
      </c>
      <c r="B262" s="13" t="s">
        <v>222</v>
      </c>
      <c r="C262" s="97">
        <f t="shared" si="56"/>
        <v>1173025</v>
      </c>
      <c r="D262" s="86">
        <f t="shared" si="57"/>
        <v>0</v>
      </c>
      <c r="E262" s="86"/>
      <c r="F262" s="86"/>
      <c r="G262" s="86"/>
      <c r="H262" s="86"/>
      <c r="I262" s="86"/>
      <c r="J262" s="86"/>
      <c r="K262" s="86"/>
      <c r="L262" s="97"/>
      <c r="M262" s="86"/>
      <c r="N262" s="86"/>
      <c r="O262" s="86"/>
      <c r="P262" s="86"/>
      <c r="Q262" s="97"/>
      <c r="R262" s="86"/>
      <c r="S262" s="86"/>
      <c r="T262" s="86"/>
      <c r="U262" s="86"/>
      <c r="V262" s="97"/>
      <c r="W262" s="97">
        <v>1173025</v>
      </c>
      <c r="X262" s="97"/>
      <c r="Y262" s="14"/>
      <c r="Z262" s="12"/>
      <c r="AA262" s="12"/>
      <c r="AB262" s="12"/>
      <c r="AC262" s="12"/>
    </row>
    <row r="263" spans="1:29" ht="15.75" customHeight="1">
      <c r="A263" s="10">
        <f>A262+1</f>
        <v>195</v>
      </c>
      <c r="B263" s="13" t="s">
        <v>218</v>
      </c>
      <c r="C263" s="97">
        <f t="shared" si="56"/>
        <v>1277746</v>
      </c>
      <c r="D263" s="86">
        <f t="shared" si="57"/>
        <v>0</v>
      </c>
      <c r="E263" s="86"/>
      <c r="F263" s="86"/>
      <c r="G263" s="86"/>
      <c r="H263" s="86"/>
      <c r="I263" s="86"/>
      <c r="J263" s="86"/>
      <c r="K263" s="86"/>
      <c r="L263" s="97"/>
      <c r="M263" s="86"/>
      <c r="N263" s="86"/>
      <c r="O263" s="86"/>
      <c r="P263" s="86"/>
      <c r="Q263" s="97"/>
      <c r="R263" s="86"/>
      <c r="S263" s="86"/>
      <c r="T263" s="86"/>
      <c r="U263" s="86"/>
      <c r="V263" s="97"/>
      <c r="W263" s="97">
        <v>1277746</v>
      </c>
      <c r="X263" s="97"/>
      <c r="Y263" s="14"/>
      <c r="Z263" s="12"/>
      <c r="AA263" s="12"/>
      <c r="AB263" s="12"/>
      <c r="AC263" s="12"/>
    </row>
    <row r="264" spans="1:29" ht="22.5" customHeight="1">
      <c r="A264" s="10">
        <f>A263+1</f>
        <v>196</v>
      </c>
      <c r="B264" s="13" t="s">
        <v>219</v>
      </c>
      <c r="C264" s="97">
        <f t="shared" si="56"/>
        <v>1277746</v>
      </c>
      <c r="D264" s="86">
        <f t="shared" si="57"/>
        <v>0</v>
      </c>
      <c r="E264" s="86"/>
      <c r="F264" s="86"/>
      <c r="G264" s="86"/>
      <c r="H264" s="86"/>
      <c r="I264" s="86"/>
      <c r="J264" s="86"/>
      <c r="K264" s="86"/>
      <c r="L264" s="97"/>
      <c r="M264" s="86"/>
      <c r="N264" s="86"/>
      <c r="O264" s="86"/>
      <c r="P264" s="86"/>
      <c r="Q264" s="97"/>
      <c r="R264" s="86"/>
      <c r="S264" s="86"/>
      <c r="T264" s="86"/>
      <c r="U264" s="86"/>
      <c r="V264" s="97"/>
      <c r="W264" s="97">
        <v>1277746</v>
      </c>
      <c r="X264" s="97"/>
      <c r="Y264" s="14"/>
      <c r="Z264" s="12"/>
      <c r="AA264" s="12"/>
      <c r="AB264" s="12"/>
      <c r="AC264" s="12"/>
    </row>
    <row r="265" spans="1:29" ht="20.25" customHeight="1">
      <c r="A265" s="10">
        <f>A264+1</f>
        <v>197</v>
      </c>
      <c r="B265" s="13" t="s">
        <v>220</v>
      </c>
      <c r="C265" s="97">
        <f t="shared" si="56"/>
        <v>1277746</v>
      </c>
      <c r="D265" s="86">
        <f t="shared" si="57"/>
        <v>0</v>
      </c>
      <c r="E265" s="86"/>
      <c r="F265" s="86"/>
      <c r="G265" s="86"/>
      <c r="H265" s="86"/>
      <c r="I265" s="86"/>
      <c r="J265" s="86"/>
      <c r="K265" s="86"/>
      <c r="L265" s="97"/>
      <c r="M265" s="86"/>
      <c r="N265" s="86"/>
      <c r="O265" s="86"/>
      <c r="P265" s="86"/>
      <c r="Q265" s="97"/>
      <c r="R265" s="86"/>
      <c r="S265" s="86"/>
      <c r="T265" s="86"/>
      <c r="U265" s="86"/>
      <c r="V265" s="97"/>
      <c r="W265" s="97">
        <v>1277746</v>
      </c>
      <c r="X265" s="97"/>
      <c r="Y265" s="14"/>
      <c r="Z265" s="12"/>
      <c r="AA265" s="12"/>
      <c r="AB265" s="12"/>
      <c r="AC265" s="12"/>
    </row>
    <row r="266" spans="1:29" ht="12.75" customHeight="1">
      <c r="A266" s="130" t="s">
        <v>597</v>
      </c>
      <c r="B266" s="130"/>
      <c r="C266" s="97">
        <f aca="true" t="shared" si="58" ref="C266:X266">SUM(C260:C265)</f>
        <v>6995930</v>
      </c>
      <c r="D266" s="97">
        <f t="shared" si="58"/>
        <v>0</v>
      </c>
      <c r="E266" s="97">
        <f t="shared" si="58"/>
        <v>0</v>
      </c>
      <c r="F266" s="97">
        <f t="shared" si="58"/>
        <v>0</v>
      </c>
      <c r="G266" s="97">
        <f t="shared" si="58"/>
        <v>0</v>
      </c>
      <c r="H266" s="97">
        <f t="shared" si="58"/>
        <v>0</v>
      </c>
      <c r="I266" s="97">
        <f t="shared" si="58"/>
        <v>0</v>
      </c>
      <c r="J266" s="97">
        <f t="shared" si="58"/>
        <v>0</v>
      </c>
      <c r="K266" s="97">
        <f t="shared" si="58"/>
        <v>0</v>
      </c>
      <c r="L266" s="97">
        <f t="shared" si="58"/>
        <v>0</v>
      </c>
      <c r="M266" s="97">
        <f t="shared" si="58"/>
        <v>0</v>
      </c>
      <c r="N266" s="97">
        <f t="shared" si="58"/>
        <v>0</v>
      </c>
      <c r="O266" s="97">
        <f t="shared" si="58"/>
        <v>0</v>
      </c>
      <c r="P266" s="97">
        <f t="shared" si="58"/>
        <v>0</v>
      </c>
      <c r="Q266" s="97">
        <f t="shared" si="58"/>
        <v>0</v>
      </c>
      <c r="R266" s="97">
        <f t="shared" si="58"/>
        <v>0</v>
      </c>
      <c r="S266" s="97">
        <f t="shared" si="58"/>
        <v>0</v>
      </c>
      <c r="T266" s="97">
        <f t="shared" si="58"/>
        <v>0</v>
      </c>
      <c r="U266" s="97">
        <f t="shared" si="58"/>
        <v>0</v>
      </c>
      <c r="V266" s="97">
        <f t="shared" si="58"/>
        <v>0</v>
      </c>
      <c r="W266" s="97">
        <f t="shared" si="58"/>
        <v>6995930</v>
      </c>
      <c r="X266" s="97">
        <f t="shared" si="58"/>
        <v>0</v>
      </c>
      <c r="Y266" s="14"/>
      <c r="Z266" s="12"/>
      <c r="AA266" s="12"/>
      <c r="AB266" s="12"/>
      <c r="AC266" s="12"/>
    </row>
    <row r="267" spans="1:29" ht="12.75" customHeight="1">
      <c r="A267" s="140" t="s">
        <v>620</v>
      </c>
      <c r="B267" s="140"/>
      <c r="C267" s="140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4"/>
      <c r="Z267" s="12"/>
      <c r="AA267" s="12"/>
      <c r="AB267" s="12"/>
      <c r="AC267" s="12"/>
    </row>
    <row r="268" spans="1:29" ht="12.75" customHeight="1">
      <c r="A268" s="96">
        <f>A265+1</f>
        <v>198</v>
      </c>
      <c r="B268" s="248" t="s">
        <v>250</v>
      </c>
      <c r="C268" s="97">
        <f aca="true" t="shared" si="59" ref="C268:C273">D268+K268+M268+O268+Q268+S268+U268+V268+W268+X268</f>
        <v>82145</v>
      </c>
      <c r="D268" s="86">
        <f aca="true" t="shared" si="60" ref="D268:D273">E268+F268+G268+H268+I268</f>
        <v>0</v>
      </c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>
        <f>82145</f>
        <v>82145</v>
      </c>
      <c r="X268" s="97"/>
      <c r="Y268" s="14"/>
      <c r="Z268" s="12"/>
      <c r="AA268" s="12"/>
      <c r="AB268" s="12"/>
      <c r="AC268" s="12"/>
    </row>
    <row r="269" spans="1:29" ht="12.75" customHeight="1">
      <c r="A269" s="96">
        <f>A268+1</f>
        <v>199</v>
      </c>
      <c r="B269" s="248" t="s">
        <v>251</v>
      </c>
      <c r="C269" s="97">
        <f t="shared" si="59"/>
        <v>99663</v>
      </c>
      <c r="D269" s="86">
        <f t="shared" si="60"/>
        <v>0</v>
      </c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>
        <f>99663</f>
        <v>99663</v>
      </c>
      <c r="X269" s="97"/>
      <c r="Y269" s="14"/>
      <c r="Z269" s="12"/>
      <c r="AA269" s="12"/>
      <c r="AB269" s="12"/>
      <c r="AC269" s="12"/>
    </row>
    <row r="270" spans="1:29" ht="12.75" customHeight="1">
      <c r="A270" s="96">
        <f>A269+1</f>
        <v>200</v>
      </c>
      <c r="B270" s="248" t="s">
        <v>246</v>
      </c>
      <c r="C270" s="97">
        <f t="shared" si="59"/>
        <v>95563</v>
      </c>
      <c r="D270" s="86">
        <f t="shared" si="60"/>
        <v>0</v>
      </c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>
        <v>95563</v>
      </c>
      <c r="X270" s="97"/>
      <c r="Y270" s="14"/>
      <c r="Z270" s="12"/>
      <c r="AA270" s="12"/>
      <c r="AB270" s="12"/>
      <c r="AC270" s="12"/>
    </row>
    <row r="271" spans="1:29" ht="12.75" customHeight="1">
      <c r="A271" s="96">
        <f>A270+1</f>
        <v>201</v>
      </c>
      <c r="B271" s="248" t="s">
        <v>247</v>
      </c>
      <c r="C271" s="97">
        <f t="shared" si="59"/>
        <v>111088</v>
      </c>
      <c r="D271" s="86">
        <f t="shared" si="60"/>
        <v>0</v>
      </c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>
        <v>111088</v>
      </c>
      <c r="X271" s="97"/>
      <c r="Y271" s="14"/>
      <c r="Z271" s="12"/>
      <c r="AA271" s="12"/>
      <c r="AB271" s="12"/>
      <c r="AC271" s="12"/>
    </row>
    <row r="272" spans="1:29" ht="12.75" customHeight="1">
      <c r="A272" s="96">
        <f>A271+1</f>
        <v>202</v>
      </c>
      <c r="B272" s="248" t="s">
        <v>248</v>
      </c>
      <c r="C272" s="97">
        <f t="shared" si="59"/>
        <v>692305</v>
      </c>
      <c r="D272" s="86">
        <f t="shared" si="60"/>
        <v>0</v>
      </c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>
        <v>692305</v>
      </c>
      <c r="X272" s="97"/>
      <c r="Y272" s="14"/>
      <c r="Z272" s="12"/>
      <c r="AA272" s="12"/>
      <c r="AB272" s="12"/>
      <c r="AC272" s="12"/>
    </row>
    <row r="273" spans="1:29" ht="12.75" customHeight="1">
      <c r="A273" s="96">
        <f>A272+1</f>
        <v>203</v>
      </c>
      <c r="B273" s="248" t="s">
        <v>249</v>
      </c>
      <c r="C273" s="97">
        <f t="shared" si="59"/>
        <v>256108</v>
      </c>
      <c r="D273" s="86">
        <f t="shared" si="60"/>
        <v>0</v>
      </c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>
        <v>256108</v>
      </c>
      <c r="X273" s="97"/>
      <c r="Y273" s="220"/>
      <c r="Z273" s="12"/>
      <c r="AA273" s="12"/>
      <c r="AB273" s="12"/>
      <c r="AC273" s="12"/>
    </row>
    <row r="274" spans="1:29" ht="12.75" customHeight="1">
      <c r="A274" s="130" t="s">
        <v>597</v>
      </c>
      <c r="B274" s="130"/>
      <c r="C274" s="97">
        <f>SUM(C268:C273)</f>
        <v>1336872</v>
      </c>
      <c r="D274" s="97">
        <f aca="true" t="shared" si="61" ref="D274:X274">SUM(D268:D273)</f>
        <v>0</v>
      </c>
      <c r="E274" s="97">
        <f t="shared" si="61"/>
        <v>0</v>
      </c>
      <c r="F274" s="97">
        <f t="shared" si="61"/>
        <v>0</v>
      </c>
      <c r="G274" s="97">
        <f t="shared" si="61"/>
        <v>0</v>
      </c>
      <c r="H274" s="97">
        <f t="shared" si="61"/>
        <v>0</v>
      </c>
      <c r="I274" s="97">
        <f t="shared" si="61"/>
        <v>0</v>
      </c>
      <c r="J274" s="97">
        <f t="shared" si="61"/>
        <v>0</v>
      </c>
      <c r="K274" s="97">
        <f t="shared" si="61"/>
        <v>0</v>
      </c>
      <c r="L274" s="97">
        <f t="shared" si="61"/>
        <v>0</v>
      </c>
      <c r="M274" s="97">
        <f t="shared" si="61"/>
        <v>0</v>
      </c>
      <c r="N274" s="97">
        <f t="shared" si="61"/>
        <v>0</v>
      </c>
      <c r="O274" s="97">
        <f t="shared" si="61"/>
        <v>0</v>
      </c>
      <c r="P274" s="97">
        <f t="shared" si="61"/>
        <v>0</v>
      </c>
      <c r="Q274" s="97">
        <f t="shared" si="61"/>
        <v>0</v>
      </c>
      <c r="R274" s="97">
        <f t="shared" si="61"/>
        <v>0</v>
      </c>
      <c r="S274" s="97">
        <f t="shared" si="61"/>
        <v>0</v>
      </c>
      <c r="T274" s="97">
        <f t="shared" si="61"/>
        <v>0</v>
      </c>
      <c r="U274" s="97">
        <f t="shared" si="61"/>
        <v>0</v>
      </c>
      <c r="V274" s="97">
        <f t="shared" si="61"/>
        <v>0</v>
      </c>
      <c r="W274" s="97">
        <f t="shared" si="61"/>
        <v>1336872</v>
      </c>
      <c r="X274" s="97">
        <f t="shared" si="61"/>
        <v>0</v>
      </c>
      <c r="Y274" s="14"/>
      <c r="Z274" s="12"/>
      <c r="AA274" s="12"/>
      <c r="AB274" s="12"/>
      <c r="AC274" s="12"/>
    </row>
    <row r="275" spans="1:29" ht="12.75" customHeight="1">
      <c r="A275" s="123" t="s">
        <v>619</v>
      </c>
      <c r="B275" s="123"/>
      <c r="C275" s="123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4"/>
      <c r="Z275" s="12"/>
      <c r="AB275" s="12"/>
      <c r="AC275" s="12"/>
    </row>
    <row r="276" spans="1:29" ht="16.5" customHeight="1">
      <c r="A276" s="10">
        <f>A273+1</f>
        <v>204</v>
      </c>
      <c r="B276" s="13" t="s">
        <v>254</v>
      </c>
      <c r="C276" s="97">
        <f>D276+K276+M276+O276+Q276+S276+U276+V276+W276+X276</f>
        <v>671744</v>
      </c>
      <c r="D276" s="86">
        <f>E276+F276+G276+H276+I276</f>
        <v>0</v>
      </c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>
        <v>671744</v>
      </c>
      <c r="X276" s="97"/>
      <c r="Y276" s="14"/>
      <c r="Z276" s="12"/>
      <c r="AB276" s="12"/>
      <c r="AC276" s="12"/>
    </row>
    <row r="277" spans="1:29" ht="16.5" customHeight="1">
      <c r="A277" s="10">
        <f>A276+1</f>
        <v>205</v>
      </c>
      <c r="B277" s="13" t="s">
        <v>252</v>
      </c>
      <c r="C277" s="97">
        <f>D277+K277+M277+O277+Q277+S277+U277+V277+W277+X277</f>
        <v>6277915</v>
      </c>
      <c r="D277" s="86">
        <f>E277+F277+G277+H277+I277</f>
        <v>0</v>
      </c>
      <c r="E277" s="97"/>
      <c r="F277" s="97"/>
      <c r="G277" s="97"/>
      <c r="H277" s="97"/>
      <c r="I277" s="97"/>
      <c r="J277" s="96">
        <v>2</v>
      </c>
      <c r="K277" s="97">
        <f>2938851+2839186</f>
        <v>5778037</v>
      </c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>
        <v>499878</v>
      </c>
      <c r="X277" s="97"/>
      <c r="Y277" s="14"/>
      <c r="Z277" s="12"/>
      <c r="AB277" s="12"/>
      <c r="AC277" s="12"/>
    </row>
    <row r="278" spans="1:29" ht="16.5" customHeight="1">
      <c r="A278" s="10">
        <f>A277+1</f>
        <v>206</v>
      </c>
      <c r="B278" s="13" t="s">
        <v>253</v>
      </c>
      <c r="C278" s="97">
        <f>D278+K278+M278+O278+Q278+S278+U278+V278+W278+X278</f>
        <v>9567031</v>
      </c>
      <c r="D278" s="86">
        <f>E278+F278+G278+H278+I278</f>
        <v>0</v>
      </c>
      <c r="E278" s="97"/>
      <c r="F278" s="97"/>
      <c r="G278" s="97"/>
      <c r="H278" s="97"/>
      <c r="I278" s="97"/>
      <c r="J278" s="96">
        <v>4</v>
      </c>
      <c r="K278" s="97">
        <f>2241288+2144667*3</f>
        <v>8675289</v>
      </c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>
        <v>891742</v>
      </c>
      <c r="X278" s="97"/>
      <c r="Y278" s="14"/>
      <c r="Z278" s="12"/>
      <c r="AB278" s="12"/>
      <c r="AC278" s="12"/>
    </row>
    <row r="279" spans="1:29" ht="12" customHeight="1">
      <c r="A279" s="130" t="s">
        <v>597</v>
      </c>
      <c r="B279" s="130"/>
      <c r="C279" s="97">
        <f aca="true" t="shared" si="62" ref="C279:X279">SUM(C276:C278)</f>
        <v>16516690</v>
      </c>
      <c r="D279" s="97">
        <f t="shared" si="62"/>
        <v>0</v>
      </c>
      <c r="E279" s="97">
        <f t="shared" si="62"/>
        <v>0</v>
      </c>
      <c r="F279" s="97">
        <f t="shared" si="62"/>
        <v>0</v>
      </c>
      <c r="G279" s="97">
        <f t="shared" si="62"/>
        <v>0</v>
      </c>
      <c r="H279" s="97">
        <f t="shared" si="62"/>
        <v>0</v>
      </c>
      <c r="I279" s="97">
        <f t="shared" si="62"/>
        <v>0</v>
      </c>
      <c r="J279" s="96">
        <f t="shared" si="62"/>
        <v>6</v>
      </c>
      <c r="K279" s="97">
        <f t="shared" si="62"/>
        <v>14453326</v>
      </c>
      <c r="L279" s="97">
        <f t="shared" si="62"/>
        <v>0</v>
      </c>
      <c r="M279" s="97">
        <f t="shared" si="62"/>
        <v>0</v>
      </c>
      <c r="N279" s="97">
        <f t="shared" si="62"/>
        <v>0</v>
      </c>
      <c r="O279" s="97">
        <f t="shared" si="62"/>
        <v>0</v>
      </c>
      <c r="P279" s="97">
        <f t="shared" si="62"/>
        <v>0</v>
      </c>
      <c r="Q279" s="97">
        <f t="shared" si="62"/>
        <v>0</v>
      </c>
      <c r="R279" s="97">
        <f t="shared" si="62"/>
        <v>0</v>
      </c>
      <c r="S279" s="97">
        <f t="shared" si="62"/>
        <v>0</v>
      </c>
      <c r="T279" s="97">
        <f t="shared" si="62"/>
        <v>0</v>
      </c>
      <c r="U279" s="97">
        <f t="shared" si="62"/>
        <v>0</v>
      </c>
      <c r="V279" s="97">
        <f t="shared" si="62"/>
        <v>0</v>
      </c>
      <c r="W279" s="97">
        <f t="shared" si="62"/>
        <v>2063364</v>
      </c>
      <c r="X279" s="97">
        <f t="shared" si="62"/>
        <v>0</v>
      </c>
      <c r="Y279" s="14"/>
      <c r="Z279" s="12"/>
      <c r="AA279" s="12"/>
      <c r="AB279" s="12"/>
      <c r="AC279" s="12"/>
    </row>
    <row r="280" spans="1:29" ht="12.75" customHeight="1">
      <c r="A280" s="123" t="s">
        <v>621</v>
      </c>
      <c r="B280" s="123"/>
      <c r="C280" s="81">
        <f aca="true" t="shared" si="63" ref="C280:X280">C240+C258+C266+C279+C274</f>
        <v>107816027</v>
      </c>
      <c r="D280" s="81">
        <f t="shared" si="63"/>
        <v>18271205</v>
      </c>
      <c r="E280" s="81">
        <f t="shared" si="63"/>
        <v>0</v>
      </c>
      <c r="F280" s="81">
        <f t="shared" si="63"/>
        <v>13240465</v>
      </c>
      <c r="G280" s="81">
        <f t="shared" si="63"/>
        <v>1271085</v>
      </c>
      <c r="H280" s="81">
        <f t="shared" si="63"/>
        <v>2681305</v>
      </c>
      <c r="I280" s="81">
        <f t="shared" si="63"/>
        <v>1078350</v>
      </c>
      <c r="J280" s="51">
        <f t="shared" si="63"/>
        <v>8</v>
      </c>
      <c r="K280" s="81">
        <f t="shared" si="63"/>
        <v>19643326</v>
      </c>
      <c r="L280" s="81">
        <f t="shared" si="63"/>
        <v>5389.2</v>
      </c>
      <c r="M280" s="81">
        <f t="shared" si="63"/>
        <v>17187193</v>
      </c>
      <c r="N280" s="81">
        <f t="shared" si="63"/>
        <v>0</v>
      </c>
      <c r="O280" s="81">
        <f t="shared" si="63"/>
        <v>0</v>
      </c>
      <c r="P280" s="81">
        <f t="shared" si="63"/>
        <v>14360.4</v>
      </c>
      <c r="Q280" s="81">
        <f t="shared" si="63"/>
        <v>37145209</v>
      </c>
      <c r="R280" s="81">
        <f t="shared" si="63"/>
        <v>0</v>
      </c>
      <c r="S280" s="81">
        <f t="shared" si="63"/>
        <v>0</v>
      </c>
      <c r="T280" s="81">
        <f t="shared" si="63"/>
        <v>0</v>
      </c>
      <c r="U280" s="81">
        <f t="shared" si="63"/>
        <v>0</v>
      </c>
      <c r="V280" s="81">
        <f t="shared" si="63"/>
        <v>740885</v>
      </c>
      <c r="W280" s="81">
        <f t="shared" si="63"/>
        <v>14828209</v>
      </c>
      <c r="X280" s="81">
        <f t="shared" si="63"/>
        <v>0</v>
      </c>
      <c r="Y280" s="14"/>
      <c r="Z280" s="12"/>
      <c r="AA280" s="20"/>
      <c r="AB280" s="12"/>
      <c r="AC280" s="12"/>
    </row>
    <row r="281" spans="1:29" ht="12.75" customHeight="1">
      <c r="A281" s="133" t="s">
        <v>682</v>
      </c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4"/>
      <c r="Z281" s="12"/>
      <c r="AA281" s="11"/>
      <c r="AB281" s="12"/>
      <c r="AC281" s="12"/>
    </row>
    <row r="282" spans="1:29" ht="12.75" customHeight="1">
      <c r="A282" s="123" t="s">
        <v>819</v>
      </c>
      <c r="B282" s="123"/>
      <c r="C282" s="123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4"/>
      <c r="Z282" s="12"/>
      <c r="AA282" s="11"/>
      <c r="AB282" s="12"/>
      <c r="AC282" s="12"/>
    </row>
    <row r="283" spans="1:29" ht="12.75" customHeight="1">
      <c r="A283" s="96">
        <f>A278+1</f>
        <v>207</v>
      </c>
      <c r="B283" s="82" t="s">
        <v>255</v>
      </c>
      <c r="C283" s="97">
        <f>D283+K283+M283+O283+Q283+S283+U283+V283+W283+X283</f>
        <v>1211255</v>
      </c>
      <c r="D283" s="86">
        <f>E283+F283+G283+H283+I283</f>
        <v>0</v>
      </c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6"/>
      <c r="R283" s="81"/>
      <c r="S283" s="81"/>
      <c r="T283" s="81"/>
      <c r="U283" s="81"/>
      <c r="V283" s="81"/>
      <c r="W283" s="97">
        <v>1211255</v>
      </c>
      <c r="X283" s="81"/>
      <c r="Y283" s="14"/>
      <c r="Z283" s="12"/>
      <c r="AA283" s="11"/>
      <c r="AB283" s="12"/>
      <c r="AC283" s="12"/>
    </row>
    <row r="284" spans="1:29" ht="19.5" customHeight="1">
      <c r="A284" s="96">
        <f>A283+1</f>
        <v>208</v>
      </c>
      <c r="B284" s="82" t="s">
        <v>256</v>
      </c>
      <c r="C284" s="97">
        <f>D284+K284+M284+O284+Q284+S284+U284+V284+W284+X284</f>
        <v>1214793</v>
      </c>
      <c r="D284" s="86">
        <f>E284+F284+G284+H284+I284</f>
        <v>0</v>
      </c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97">
        <v>1214793</v>
      </c>
      <c r="X284" s="81"/>
      <c r="Y284" s="14"/>
      <c r="Z284" s="12"/>
      <c r="AA284" s="11"/>
      <c r="AB284" s="12"/>
      <c r="AC284" s="12"/>
    </row>
    <row r="285" spans="1:29" ht="12.75" customHeight="1">
      <c r="A285" s="96">
        <f>A284+1</f>
        <v>209</v>
      </c>
      <c r="B285" s="82" t="s">
        <v>257</v>
      </c>
      <c r="C285" s="97">
        <f>D285+K285+M285+O285+Q285+S285+U285+V285+W285+X285</f>
        <v>1237798</v>
      </c>
      <c r="D285" s="86">
        <f>E285+F285+G285+H285+I285</f>
        <v>0</v>
      </c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97">
        <v>1237798</v>
      </c>
      <c r="X285" s="81"/>
      <c r="Y285" s="14"/>
      <c r="Z285" s="12"/>
      <c r="AA285" s="11"/>
      <c r="AB285" s="12"/>
      <c r="AC285" s="12"/>
    </row>
    <row r="286" spans="1:29" ht="12.75" customHeight="1">
      <c r="A286" s="96">
        <f>A285+1</f>
        <v>210</v>
      </c>
      <c r="B286" s="13" t="s">
        <v>258</v>
      </c>
      <c r="C286" s="97">
        <f>D286+K286+M286+O286+Q286+S286+U286+V286+W286+X286</f>
        <v>1239462</v>
      </c>
      <c r="D286" s="86">
        <f>E286+F286+G286+H286+I286</f>
        <v>0</v>
      </c>
      <c r="E286" s="86"/>
      <c r="F286" s="86"/>
      <c r="G286" s="86"/>
      <c r="H286" s="86"/>
      <c r="I286" s="86"/>
      <c r="J286" s="86"/>
      <c r="K286" s="86"/>
      <c r="L286" s="86"/>
      <c r="M286" s="97"/>
      <c r="N286" s="86"/>
      <c r="O286" s="86"/>
      <c r="P286" s="86"/>
      <c r="Q286" s="86"/>
      <c r="R286" s="86"/>
      <c r="S286" s="86"/>
      <c r="T286" s="86"/>
      <c r="U286" s="86"/>
      <c r="V286" s="86"/>
      <c r="W286" s="97">
        <v>1239462</v>
      </c>
      <c r="X286" s="86"/>
      <c r="Y286" s="14"/>
      <c r="Z286" s="12"/>
      <c r="AA286" s="11"/>
      <c r="AB286" s="12"/>
      <c r="AC286" s="12"/>
    </row>
    <row r="287" spans="1:29" ht="12.75" customHeight="1">
      <c r="A287" s="130" t="s">
        <v>597</v>
      </c>
      <c r="B287" s="130"/>
      <c r="C287" s="86">
        <f>SUM(C283:C286)</f>
        <v>4903308</v>
      </c>
      <c r="D287" s="86">
        <f aca="true" t="shared" si="64" ref="D287:X287">SUM(D283:D286)</f>
        <v>0</v>
      </c>
      <c r="E287" s="86">
        <f t="shared" si="64"/>
        <v>0</v>
      </c>
      <c r="F287" s="86">
        <f t="shared" si="64"/>
        <v>0</v>
      </c>
      <c r="G287" s="86">
        <f t="shared" si="64"/>
        <v>0</v>
      </c>
      <c r="H287" s="86">
        <f t="shared" si="64"/>
        <v>0</v>
      </c>
      <c r="I287" s="86">
        <f t="shared" si="64"/>
        <v>0</v>
      </c>
      <c r="J287" s="86">
        <f t="shared" si="64"/>
        <v>0</v>
      </c>
      <c r="K287" s="86">
        <f t="shared" si="64"/>
        <v>0</v>
      </c>
      <c r="L287" s="86">
        <f t="shared" si="64"/>
        <v>0</v>
      </c>
      <c r="M287" s="86">
        <f t="shared" si="64"/>
        <v>0</v>
      </c>
      <c r="N287" s="86">
        <f t="shared" si="64"/>
        <v>0</v>
      </c>
      <c r="O287" s="86">
        <f t="shared" si="64"/>
        <v>0</v>
      </c>
      <c r="P287" s="86">
        <f t="shared" si="64"/>
        <v>0</v>
      </c>
      <c r="Q287" s="86">
        <f t="shared" si="64"/>
        <v>0</v>
      </c>
      <c r="R287" s="86">
        <f t="shared" si="64"/>
        <v>0</v>
      </c>
      <c r="S287" s="86">
        <f t="shared" si="64"/>
        <v>0</v>
      </c>
      <c r="T287" s="86">
        <f t="shared" si="64"/>
        <v>0</v>
      </c>
      <c r="U287" s="86">
        <f t="shared" si="64"/>
        <v>0</v>
      </c>
      <c r="V287" s="86">
        <f t="shared" si="64"/>
        <v>0</v>
      </c>
      <c r="W287" s="86">
        <f t="shared" si="64"/>
        <v>4903308</v>
      </c>
      <c r="X287" s="86">
        <f t="shared" si="64"/>
        <v>0</v>
      </c>
      <c r="Y287" s="14"/>
      <c r="Z287" s="12"/>
      <c r="AA287" s="14"/>
      <c r="AB287" s="12"/>
      <c r="AC287" s="12"/>
    </row>
    <row r="288" spans="1:29" ht="12.75" customHeight="1">
      <c r="A288" s="123" t="s">
        <v>622</v>
      </c>
      <c r="B288" s="123"/>
      <c r="C288" s="123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4"/>
      <c r="Z288" s="12"/>
      <c r="AA288" s="11"/>
      <c r="AB288" s="12"/>
      <c r="AC288" s="12"/>
    </row>
    <row r="289" spans="1:29" s="253" customFormat="1" ht="12.75">
      <c r="A289" s="96">
        <f>A286+1</f>
        <v>211</v>
      </c>
      <c r="B289" s="89" t="s">
        <v>726</v>
      </c>
      <c r="C289" s="97">
        <f aca="true" t="shared" si="65" ref="C289:C310">D289+K289+M289+O289+Q289+S289+U289+V289+W289+X289</f>
        <v>1233452</v>
      </c>
      <c r="D289" s="86">
        <f aca="true" t="shared" si="66" ref="D289:D310">E289+F289+G289+H289+I289</f>
        <v>1233452</v>
      </c>
      <c r="E289" s="249">
        <v>1233452</v>
      </c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1"/>
      <c r="W289" s="86"/>
      <c r="X289" s="250"/>
      <c r="Y289" s="251"/>
      <c r="Z289" s="252"/>
      <c r="AA289" s="252"/>
      <c r="AB289" s="12"/>
      <c r="AC289" s="12"/>
    </row>
    <row r="290" spans="1:29" s="253" customFormat="1" ht="12.75">
      <c r="A290" s="96">
        <f>A289+1</f>
        <v>212</v>
      </c>
      <c r="B290" s="89" t="s">
        <v>727</v>
      </c>
      <c r="C290" s="97">
        <f t="shared" si="65"/>
        <v>891868</v>
      </c>
      <c r="D290" s="86">
        <f t="shared" si="66"/>
        <v>891868</v>
      </c>
      <c r="E290" s="249">
        <v>891868</v>
      </c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1"/>
      <c r="W290" s="86"/>
      <c r="X290" s="250"/>
      <c r="Y290" s="251"/>
      <c r="Z290" s="252"/>
      <c r="AA290" s="252"/>
      <c r="AB290" s="12"/>
      <c r="AC290" s="12"/>
    </row>
    <row r="291" spans="1:29" ht="15" customHeight="1">
      <c r="A291" s="96">
        <f>A290+1</f>
        <v>213</v>
      </c>
      <c r="B291" s="204" t="s">
        <v>780</v>
      </c>
      <c r="C291" s="97">
        <f t="shared" si="65"/>
        <v>841556</v>
      </c>
      <c r="D291" s="86">
        <f t="shared" si="66"/>
        <v>0</v>
      </c>
      <c r="E291" s="86"/>
      <c r="F291" s="86"/>
      <c r="G291" s="86"/>
      <c r="H291" s="86"/>
      <c r="I291" s="86"/>
      <c r="J291" s="86"/>
      <c r="K291" s="86"/>
      <c r="L291" s="86"/>
      <c r="M291" s="97"/>
      <c r="N291" s="86"/>
      <c r="O291" s="86"/>
      <c r="P291" s="86">
        <v>458.7</v>
      </c>
      <c r="Q291" s="97">
        <v>841556</v>
      </c>
      <c r="R291" s="86"/>
      <c r="S291" s="86"/>
      <c r="T291" s="86"/>
      <c r="U291" s="86"/>
      <c r="V291" s="81"/>
      <c r="W291" s="97"/>
      <c r="X291" s="86"/>
      <c r="Y291" s="14"/>
      <c r="Z291" s="12"/>
      <c r="AA291" s="12"/>
      <c r="AB291" s="12"/>
      <c r="AC291" s="12"/>
    </row>
    <row r="292" spans="1:29" s="253" customFormat="1" ht="12.75">
      <c r="A292" s="96">
        <f aca="true" t="shared" si="67" ref="A292:A337">A291+1</f>
        <v>214</v>
      </c>
      <c r="B292" s="89" t="s">
        <v>728</v>
      </c>
      <c r="C292" s="97">
        <f t="shared" si="65"/>
        <v>6117968</v>
      </c>
      <c r="D292" s="86">
        <f t="shared" si="66"/>
        <v>0</v>
      </c>
      <c r="E292" s="86"/>
      <c r="F292" s="86"/>
      <c r="G292" s="86"/>
      <c r="H292" s="86"/>
      <c r="I292" s="86"/>
      <c r="J292" s="86"/>
      <c r="K292" s="86"/>
      <c r="L292" s="97">
        <v>793.4</v>
      </c>
      <c r="M292" s="246">
        <v>6117968</v>
      </c>
      <c r="N292" s="86"/>
      <c r="O292" s="86"/>
      <c r="P292" s="86"/>
      <c r="Q292" s="86"/>
      <c r="R292" s="86"/>
      <c r="S292" s="86"/>
      <c r="T292" s="86"/>
      <c r="U292" s="86"/>
      <c r="V292" s="81"/>
      <c r="W292" s="86"/>
      <c r="X292" s="250"/>
      <c r="Y292" s="251"/>
      <c r="Z292" s="252"/>
      <c r="AA292" s="252"/>
      <c r="AB292" s="12"/>
      <c r="AC292" s="12"/>
    </row>
    <row r="293" spans="1:29" ht="15" customHeight="1">
      <c r="A293" s="96">
        <f t="shared" si="67"/>
        <v>215</v>
      </c>
      <c r="B293" s="204" t="s">
        <v>781</v>
      </c>
      <c r="C293" s="97">
        <f t="shared" si="65"/>
        <v>7620706</v>
      </c>
      <c r="D293" s="86">
        <f t="shared" si="66"/>
        <v>0</v>
      </c>
      <c r="E293" s="86"/>
      <c r="F293" s="86"/>
      <c r="G293" s="86"/>
      <c r="H293" s="86"/>
      <c r="I293" s="86"/>
      <c r="J293" s="86"/>
      <c r="K293" s="86"/>
      <c r="L293" s="86">
        <v>1018.8</v>
      </c>
      <c r="M293" s="97">
        <v>4478710</v>
      </c>
      <c r="N293" s="86"/>
      <c r="O293" s="86"/>
      <c r="P293" s="86">
        <v>2223.4</v>
      </c>
      <c r="Q293" s="97">
        <v>3141996</v>
      </c>
      <c r="R293" s="86"/>
      <c r="S293" s="86"/>
      <c r="T293" s="86"/>
      <c r="U293" s="86"/>
      <c r="V293" s="81"/>
      <c r="W293" s="97"/>
      <c r="X293" s="86"/>
      <c r="Y293" s="14"/>
      <c r="Z293" s="12"/>
      <c r="AA293" s="12"/>
      <c r="AB293" s="12"/>
      <c r="AC293" s="12"/>
    </row>
    <row r="294" spans="1:29" s="253" customFormat="1" ht="12.75">
      <c r="A294" s="96">
        <f t="shared" si="67"/>
        <v>216</v>
      </c>
      <c r="B294" s="89" t="s">
        <v>729</v>
      </c>
      <c r="C294" s="97">
        <f t="shared" si="65"/>
        <v>6975601</v>
      </c>
      <c r="D294" s="86">
        <f t="shared" si="66"/>
        <v>6975601</v>
      </c>
      <c r="E294" s="86"/>
      <c r="F294" s="249">
        <v>5138505</v>
      </c>
      <c r="G294" s="249">
        <v>909405</v>
      </c>
      <c r="H294" s="86"/>
      <c r="I294" s="249">
        <v>927691</v>
      </c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1"/>
      <c r="U294" s="81"/>
      <c r="V294" s="81"/>
      <c r="W294" s="86"/>
      <c r="X294" s="250"/>
      <c r="Y294" s="251"/>
      <c r="Z294" s="252"/>
      <c r="AA294" s="252"/>
      <c r="AB294" s="12"/>
      <c r="AC294" s="12"/>
    </row>
    <row r="295" spans="1:29" ht="15" customHeight="1">
      <c r="A295" s="96">
        <f t="shared" si="67"/>
        <v>217</v>
      </c>
      <c r="B295" s="204" t="s">
        <v>782</v>
      </c>
      <c r="C295" s="97">
        <f t="shared" si="65"/>
        <v>1294145</v>
      </c>
      <c r="D295" s="86">
        <f t="shared" si="66"/>
        <v>0</v>
      </c>
      <c r="E295" s="86"/>
      <c r="F295" s="86"/>
      <c r="G295" s="86"/>
      <c r="H295" s="86"/>
      <c r="I295" s="86"/>
      <c r="J295" s="86"/>
      <c r="K295" s="86"/>
      <c r="L295" s="86"/>
      <c r="M295" s="97"/>
      <c r="N295" s="86"/>
      <c r="O295" s="86"/>
      <c r="P295" s="86">
        <v>781.3</v>
      </c>
      <c r="Q295" s="97">
        <v>1294145</v>
      </c>
      <c r="R295" s="86"/>
      <c r="S295" s="86"/>
      <c r="T295" s="86"/>
      <c r="U295" s="86"/>
      <c r="V295" s="81"/>
      <c r="W295" s="97"/>
      <c r="X295" s="86"/>
      <c r="Y295" s="14"/>
      <c r="Z295" s="12"/>
      <c r="AA295" s="12"/>
      <c r="AB295" s="12"/>
      <c r="AC295" s="12"/>
    </row>
    <row r="296" spans="1:29" ht="15" customHeight="1">
      <c r="A296" s="96">
        <f t="shared" si="67"/>
        <v>218</v>
      </c>
      <c r="B296" s="204" t="s">
        <v>783</v>
      </c>
      <c r="C296" s="97">
        <f t="shared" si="65"/>
        <v>2081734</v>
      </c>
      <c r="D296" s="86">
        <f t="shared" si="66"/>
        <v>0</v>
      </c>
      <c r="E296" s="86"/>
      <c r="F296" s="86"/>
      <c r="G296" s="86"/>
      <c r="H296" s="86"/>
      <c r="I296" s="86"/>
      <c r="J296" s="86"/>
      <c r="K296" s="86"/>
      <c r="L296" s="86"/>
      <c r="M296" s="97"/>
      <c r="N296" s="86"/>
      <c r="O296" s="86"/>
      <c r="P296" s="86">
        <v>523.4</v>
      </c>
      <c r="Q296" s="97">
        <v>2081734</v>
      </c>
      <c r="R296" s="86"/>
      <c r="S296" s="86"/>
      <c r="T296" s="86"/>
      <c r="U296" s="86"/>
      <c r="V296" s="81"/>
      <c r="W296" s="97"/>
      <c r="X296" s="86"/>
      <c r="Y296" s="14"/>
      <c r="Z296" s="12"/>
      <c r="AA296" s="12"/>
      <c r="AB296" s="12"/>
      <c r="AC296" s="12"/>
    </row>
    <row r="297" spans="1:29" s="253" customFormat="1" ht="13.5" customHeight="1">
      <c r="A297" s="96">
        <f t="shared" si="67"/>
        <v>219</v>
      </c>
      <c r="B297" s="89" t="s">
        <v>730</v>
      </c>
      <c r="C297" s="97">
        <f t="shared" si="65"/>
        <v>751634</v>
      </c>
      <c r="D297" s="86">
        <f t="shared" si="66"/>
        <v>751634</v>
      </c>
      <c r="E297" s="249">
        <v>751634</v>
      </c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1"/>
      <c r="W297" s="86"/>
      <c r="X297" s="250"/>
      <c r="Y297" s="251"/>
      <c r="Z297" s="252"/>
      <c r="AA297" s="252"/>
      <c r="AB297" s="12"/>
      <c r="AC297" s="12"/>
    </row>
    <row r="298" spans="1:29" s="253" customFormat="1" ht="12.75">
      <c r="A298" s="96">
        <f t="shared" si="67"/>
        <v>220</v>
      </c>
      <c r="B298" s="89" t="s">
        <v>731</v>
      </c>
      <c r="C298" s="97">
        <f t="shared" si="65"/>
        <v>695035</v>
      </c>
      <c r="D298" s="86">
        <f t="shared" si="66"/>
        <v>695035</v>
      </c>
      <c r="E298" s="249">
        <v>695035</v>
      </c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1"/>
      <c r="W298" s="86"/>
      <c r="X298" s="250"/>
      <c r="Y298" s="251"/>
      <c r="Z298" s="252"/>
      <c r="AA298" s="252"/>
      <c r="AB298" s="12"/>
      <c r="AC298" s="12"/>
    </row>
    <row r="299" spans="1:29" s="253" customFormat="1" ht="12.75">
      <c r="A299" s="96">
        <f t="shared" si="67"/>
        <v>221</v>
      </c>
      <c r="B299" s="89" t="s">
        <v>732</v>
      </c>
      <c r="C299" s="97">
        <f t="shared" si="65"/>
        <v>463501</v>
      </c>
      <c r="D299" s="86">
        <f t="shared" si="66"/>
        <v>463501</v>
      </c>
      <c r="E299" s="249">
        <v>463501</v>
      </c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1"/>
      <c r="W299" s="86"/>
      <c r="X299" s="250"/>
      <c r="Y299" s="251"/>
      <c r="Z299" s="252"/>
      <c r="AA299" s="252"/>
      <c r="AB299" s="12"/>
      <c r="AC299" s="12"/>
    </row>
    <row r="300" spans="1:29" ht="12.75" customHeight="1">
      <c r="A300" s="96">
        <f t="shared" si="67"/>
        <v>222</v>
      </c>
      <c r="B300" s="89" t="s">
        <v>260</v>
      </c>
      <c r="C300" s="97">
        <f t="shared" si="65"/>
        <v>1980523</v>
      </c>
      <c r="D300" s="86">
        <f t="shared" si="66"/>
        <v>0</v>
      </c>
      <c r="E300" s="81"/>
      <c r="F300" s="81"/>
      <c r="G300" s="81"/>
      <c r="H300" s="81"/>
      <c r="I300" s="81"/>
      <c r="J300" s="81"/>
      <c r="K300" s="81"/>
      <c r="L300" s="86">
        <v>230.3</v>
      </c>
      <c r="M300" s="86">
        <f>1307477</f>
        <v>1307477</v>
      </c>
      <c r="N300" s="81"/>
      <c r="O300" s="81"/>
      <c r="P300" s="86">
        <v>410.8</v>
      </c>
      <c r="Q300" s="86">
        <f>598726</f>
        <v>598726</v>
      </c>
      <c r="R300" s="81"/>
      <c r="S300" s="81"/>
      <c r="T300" s="81"/>
      <c r="U300" s="81"/>
      <c r="V300" s="81"/>
      <c r="W300" s="86">
        <v>74320</v>
      </c>
      <c r="X300" s="81"/>
      <c r="Y300" s="14"/>
      <c r="Z300" s="12"/>
      <c r="AA300" s="11"/>
      <c r="AB300" s="12"/>
      <c r="AC300" s="12"/>
    </row>
    <row r="301" spans="1:29" ht="15" customHeight="1">
      <c r="A301" s="96">
        <f t="shared" si="67"/>
        <v>223</v>
      </c>
      <c r="B301" s="204" t="s">
        <v>778</v>
      </c>
      <c r="C301" s="97">
        <f t="shared" si="65"/>
        <v>1469768</v>
      </c>
      <c r="D301" s="86">
        <f t="shared" si="66"/>
        <v>0</v>
      </c>
      <c r="E301" s="86"/>
      <c r="F301" s="86"/>
      <c r="G301" s="86"/>
      <c r="H301" s="86"/>
      <c r="I301" s="86"/>
      <c r="J301" s="86"/>
      <c r="K301" s="86"/>
      <c r="L301" s="86">
        <v>232.4</v>
      </c>
      <c r="M301" s="97">
        <v>940578</v>
      </c>
      <c r="N301" s="86"/>
      <c r="O301" s="86"/>
      <c r="P301" s="86">
        <v>323.4</v>
      </c>
      <c r="Q301" s="97">
        <v>529190</v>
      </c>
      <c r="R301" s="86"/>
      <c r="S301" s="86"/>
      <c r="T301" s="86"/>
      <c r="U301" s="86"/>
      <c r="V301" s="81"/>
      <c r="W301" s="97"/>
      <c r="X301" s="86"/>
      <c r="Y301" s="14"/>
      <c r="Z301" s="12"/>
      <c r="AA301" s="12"/>
      <c r="AB301" s="12"/>
      <c r="AC301" s="12"/>
    </row>
    <row r="302" spans="1:29" ht="15" customHeight="1">
      <c r="A302" s="96">
        <f t="shared" si="67"/>
        <v>224</v>
      </c>
      <c r="B302" s="204" t="s">
        <v>779</v>
      </c>
      <c r="C302" s="97">
        <f t="shared" si="65"/>
        <v>4463402</v>
      </c>
      <c r="D302" s="86">
        <f t="shared" si="66"/>
        <v>0</v>
      </c>
      <c r="E302" s="86"/>
      <c r="F302" s="86"/>
      <c r="G302" s="86"/>
      <c r="H302" s="86"/>
      <c r="I302" s="86"/>
      <c r="J302" s="86"/>
      <c r="K302" s="86"/>
      <c r="L302" s="86">
        <v>565.8</v>
      </c>
      <c r="M302" s="97">
        <v>2491175</v>
      </c>
      <c r="N302" s="86"/>
      <c r="O302" s="86"/>
      <c r="P302" s="86">
        <v>956</v>
      </c>
      <c r="Q302" s="97">
        <v>1972227</v>
      </c>
      <c r="R302" s="86"/>
      <c r="S302" s="86"/>
      <c r="T302" s="86"/>
      <c r="U302" s="86"/>
      <c r="V302" s="81"/>
      <c r="W302" s="97"/>
      <c r="X302" s="86"/>
      <c r="Y302" s="14"/>
      <c r="Z302" s="12"/>
      <c r="AA302" s="12"/>
      <c r="AB302" s="12"/>
      <c r="AC302" s="12"/>
    </row>
    <row r="303" spans="1:29" ht="12.75" customHeight="1">
      <c r="A303" s="96">
        <f t="shared" si="67"/>
        <v>225</v>
      </c>
      <c r="B303" s="89" t="s">
        <v>259</v>
      </c>
      <c r="C303" s="97">
        <f t="shared" si="65"/>
        <v>12413572</v>
      </c>
      <c r="D303" s="86">
        <f t="shared" si="66"/>
        <v>0</v>
      </c>
      <c r="E303" s="81"/>
      <c r="F303" s="81"/>
      <c r="G303" s="81"/>
      <c r="H303" s="81"/>
      <c r="I303" s="81"/>
      <c r="J303" s="81"/>
      <c r="K303" s="81"/>
      <c r="L303" s="86"/>
      <c r="M303" s="86"/>
      <c r="N303" s="81"/>
      <c r="O303" s="81"/>
      <c r="P303" s="86">
        <v>3533</v>
      </c>
      <c r="Q303" s="86">
        <f>12413572</f>
        <v>12413572</v>
      </c>
      <c r="R303" s="81"/>
      <c r="S303" s="81"/>
      <c r="T303" s="81"/>
      <c r="U303" s="81"/>
      <c r="V303" s="81"/>
      <c r="W303" s="86"/>
      <c r="X303" s="81"/>
      <c r="Y303" s="14"/>
      <c r="Z303" s="12"/>
      <c r="AA303" s="11"/>
      <c r="AB303" s="12"/>
      <c r="AC303" s="12"/>
    </row>
    <row r="304" spans="1:29" s="253" customFormat="1" ht="12.75">
      <c r="A304" s="96">
        <f t="shared" si="67"/>
        <v>226</v>
      </c>
      <c r="B304" s="89" t="s">
        <v>733</v>
      </c>
      <c r="C304" s="97">
        <f t="shared" si="65"/>
        <v>764409</v>
      </c>
      <c r="D304" s="86">
        <f t="shared" si="66"/>
        <v>0</v>
      </c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96">
        <v>145</v>
      </c>
      <c r="S304" s="254">
        <v>764409</v>
      </c>
      <c r="T304" s="86"/>
      <c r="U304" s="86"/>
      <c r="V304" s="81"/>
      <c r="W304" s="86"/>
      <c r="X304" s="250"/>
      <c r="Y304" s="251"/>
      <c r="Z304" s="252"/>
      <c r="AA304" s="252"/>
      <c r="AB304" s="12"/>
      <c r="AC304" s="12"/>
    </row>
    <row r="305" spans="1:29" s="253" customFormat="1" ht="12.75">
      <c r="A305" s="96">
        <f t="shared" si="67"/>
        <v>227</v>
      </c>
      <c r="B305" s="89" t="s">
        <v>734</v>
      </c>
      <c r="C305" s="97">
        <f t="shared" si="65"/>
        <v>439724</v>
      </c>
      <c r="D305" s="86">
        <f t="shared" si="66"/>
        <v>439724</v>
      </c>
      <c r="E305" s="249">
        <v>439724</v>
      </c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1"/>
      <c r="W305" s="86"/>
      <c r="X305" s="250"/>
      <c r="Y305" s="251"/>
      <c r="Z305" s="252"/>
      <c r="AA305" s="252"/>
      <c r="AB305" s="12"/>
      <c r="AC305" s="12"/>
    </row>
    <row r="306" spans="1:29" s="253" customFormat="1" ht="12.75">
      <c r="A306" s="96">
        <f t="shared" si="67"/>
        <v>228</v>
      </c>
      <c r="B306" s="89" t="s">
        <v>735</v>
      </c>
      <c r="C306" s="97">
        <f t="shared" si="65"/>
        <v>773171</v>
      </c>
      <c r="D306" s="86">
        <f t="shared" si="66"/>
        <v>773171</v>
      </c>
      <c r="E306" s="249">
        <v>773171</v>
      </c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1"/>
      <c r="W306" s="86"/>
      <c r="X306" s="250"/>
      <c r="Y306" s="251"/>
      <c r="Z306" s="252"/>
      <c r="AA306" s="252"/>
      <c r="AB306" s="12"/>
      <c r="AC306" s="12"/>
    </row>
    <row r="307" spans="1:29" ht="15" customHeight="1">
      <c r="A307" s="96">
        <f t="shared" si="67"/>
        <v>229</v>
      </c>
      <c r="B307" s="204" t="s">
        <v>784</v>
      </c>
      <c r="C307" s="97">
        <f t="shared" si="65"/>
        <v>2165907</v>
      </c>
      <c r="D307" s="86">
        <f t="shared" si="66"/>
        <v>0</v>
      </c>
      <c r="E307" s="86"/>
      <c r="F307" s="86"/>
      <c r="G307" s="86"/>
      <c r="H307" s="86"/>
      <c r="I307" s="86"/>
      <c r="J307" s="86"/>
      <c r="K307" s="86"/>
      <c r="L307" s="86"/>
      <c r="M307" s="97"/>
      <c r="N307" s="86"/>
      <c r="O307" s="86"/>
      <c r="P307" s="86">
        <v>1870.6</v>
      </c>
      <c r="Q307" s="97">
        <v>2165907</v>
      </c>
      <c r="R307" s="86"/>
      <c r="S307" s="86"/>
      <c r="T307" s="86"/>
      <c r="U307" s="86"/>
      <c r="V307" s="81"/>
      <c r="W307" s="97"/>
      <c r="X307" s="86"/>
      <c r="Y307" s="14"/>
      <c r="Z307" s="12"/>
      <c r="AA307" s="12"/>
      <c r="AB307" s="12"/>
      <c r="AC307" s="12"/>
    </row>
    <row r="308" spans="1:29" s="253" customFormat="1" ht="12.75">
      <c r="A308" s="96">
        <f t="shared" si="67"/>
        <v>230</v>
      </c>
      <c r="B308" s="89" t="s">
        <v>736</v>
      </c>
      <c r="C308" s="97">
        <f t="shared" si="65"/>
        <v>690867</v>
      </c>
      <c r="D308" s="86">
        <f t="shared" si="66"/>
        <v>690867</v>
      </c>
      <c r="E308" s="249">
        <v>690867</v>
      </c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1"/>
      <c r="W308" s="86"/>
      <c r="X308" s="250"/>
      <c r="Y308" s="251"/>
      <c r="Z308" s="252"/>
      <c r="AA308" s="252"/>
      <c r="AB308" s="12"/>
      <c r="AC308" s="12"/>
    </row>
    <row r="309" spans="1:29" s="253" customFormat="1" ht="12.75">
      <c r="A309" s="96">
        <f t="shared" si="67"/>
        <v>231</v>
      </c>
      <c r="B309" s="89" t="s">
        <v>737</v>
      </c>
      <c r="C309" s="97">
        <f t="shared" si="65"/>
        <v>8901372</v>
      </c>
      <c r="D309" s="86">
        <f t="shared" si="66"/>
        <v>8901372</v>
      </c>
      <c r="E309" s="86"/>
      <c r="F309" s="249">
        <v>6707797</v>
      </c>
      <c r="G309" s="249">
        <v>1100500</v>
      </c>
      <c r="H309" s="86"/>
      <c r="I309" s="249">
        <v>1093075</v>
      </c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1"/>
      <c r="W309" s="86"/>
      <c r="X309" s="250"/>
      <c r="Y309" s="251"/>
      <c r="Z309" s="252"/>
      <c r="AA309" s="252"/>
      <c r="AB309" s="12"/>
      <c r="AC309" s="12"/>
    </row>
    <row r="310" spans="1:29" s="253" customFormat="1" ht="12.75">
      <c r="A310" s="96">
        <f t="shared" si="67"/>
        <v>232</v>
      </c>
      <c r="B310" s="89" t="s">
        <v>738</v>
      </c>
      <c r="C310" s="97">
        <f t="shared" si="65"/>
        <v>678499</v>
      </c>
      <c r="D310" s="86">
        <f t="shared" si="66"/>
        <v>678499</v>
      </c>
      <c r="E310" s="249">
        <v>678499</v>
      </c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1"/>
      <c r="W310" s="86"/>
      <c r="X310" s="250"/>
      <c r="Y310" s="251"/>
      <c r="Z310" s="252"/>
      <c r="AA310" s="252"/>
      <c r="AB310" s="12"/>
      <c r="AC310" s="12"/>
    </row>
    <row r="311" spans="1:29" ht="12.75" customHeight="1">
      <c r="A311" s="96">
        <f t="shared" si="67"/>
        <v>233</v>
      </c>
      <c r="B311" s="89" t="s">
        <v>268</v>
      </c>
      <c r="C311" s="97">
        <f aca="true" t="shared" si="68" ref="C311:C337">D311+K311+M311+O311+Q311+S311+U311+V311+W311+X311</f>
        <v>4199938</v>
      </c>
      <c r="D311" s="86">
        <f aca="true" t="shared" si="69" ref="D311:D337">E311+F311+G311+H311+I311</f>
        <v>0</v>
      </c>
      <c r="E311" s="86"/>
      <c r="F311" s="81"/>
      <c r="G311" s="81"/>
      <c r="H311" s="81"/>
      <c r="I311" s="81"/>
      <c r="J311" s="81"/>
      <c r="K311" s="81"/>
      <c r="L311" s="86">
        <v>340.8</v>
      </c>
      <c r="M311" s="97">
        <f>1425609</f>
        <v>1425609</v>
      </c>
      <c r="N311" s="81"/>
      <c r="O311" s="81"/>
      <c r="P311" s="86">
        <v>529.5</v>
      </c>
      <c r="Q311" s="86">
        <f>2581029</f>
        <v>2581029</v>
      </c>
      <c r="R311" s="81"/>
      <c r="S311" s="81"/>
      <c r="T311" s="81"/>
      <c r="U311" s="81"/>
      <c r="V311" s="81"/>
      <c r="W311" s="86">
        <f>101975+91325</f>
        <v>193300</v>
      </c>
      <c r="X311" s="81"/>
      <c r="Y311" s="14"/>
      <c r="Z311" s="12"/>
      <c r="AA311" s="11"/>
      <c r="AB311" s="12"/>
      <c r="AC311" s="12"/>
    </row>
    <row r="312" spans="1:29" ht="17.25" customHeight="1">
      <c r="A312" s="96">
        <f t="shared" si="67"/>
        <v>234</v>
      </c>
      <c r="B312" s="13" t="s">
        <v>269</v>
      </c>
      <c r="C312" s="97">
        <f t="shared" si="68"/>
        <v>2704797</v>
      </c>
      <c r="D312" s="86">
        <f t="shared" si="69"/>
        <v>0</v>
      </c>
      <c r="E312" s="86"/>
      <c r="F312" s="86"/>
      <c r="G312" s="86"/>
      <c r="H312" s="86"/>
      <c r="I312" s="86"/>
      <c r="J312" s="86"/>
      <c r="K312" s="86"/>
      <c r="L312" s="97">
        <v>252.2</v>
      </c>
      <c r="M312" s="97">
        <f>1124377</f>
        <v>1124377</v>
      </c>
      <c r="N312" s="97"/>
      <c r="O312" s="86"/>
      <c r="P312" s="97">
        <v>383.1</v>
      </c>
      <c r="Q312" s="97">
        <f>1435735</f>
        <v>1435735</v>
      </c>
      <c r="R312" s="86"/>
      <c r="S312" s="86"/>
      <c r="T312" s="86"/>
      <c r="U312" s="86"/>
      <c r="V312" s="81"/>
      <c r="W312" s="97">
        <f>77427+67258</f>
        <v>144685</v>
      </c>
      <c r="X312" s="97"/>
      <c r="Y312" s="14"/>
      <c r="Z312" s="12"/>
      <c r="AA312" s="14"/>
      <c r="AB312" s="12"/>
      <c r="AC312" s="12"/>
    </row>
    <row r="313" spans="1:29" s="253" customFormat="1" ht="12.75">
      <c r="A313" s="96">
        <f t="shared" si="67"/>
        <v>235</v>
      </c>
      <c r="B313" s="89" t="s">
        <v>739</v>
      </c>
      <c r="C313" s="97">
        <f aca="true" t="shared" si="70" ref="C313:C318">D313+K313+M313+O313+Q313+S313+U313+V313+W313+X313</f>
        <v>1317404</v>
      </c>
      <c r="D313" s="86">
        <f aca="true" t="shared" si="71" ref="D313:D318">E313+F313+G313+H313+I313</f>
        <v>749645</v>
      </c>
      <c r="E313" s="249">
        <v>749645</v>
      </c>
      <c r="F313" s="86"/>
      <c r="G313" s="86"/>
      <c r="H313" s="86"/>
      <c r="I313" s="86"/>
      <c r="J313" s="86"/>
      <c r="K313" s="86"/>
      <c r="L313" s="86">
        <v>632.4</v>
      </c>
      <c r="M313" s="97">
        <v>567759</v>
      </c>
      <c r="N313" s="86"/>
      <c r="O313" s="86"/>
      <c r="P313" s="86"/>
      <c r="Q313" s="86"/>
      <c r="R313" s="86"/>
      <c r="S313" s="86"/>
      <c r="T313" s="86"/>
      <c r="U313" s="86"/>
      <c r="V313" s="81"/>
      <c r="W313" s="86"/>
      <c r="X313" s="250"/>
      <c r="Y313" s="251"/>
      <c r="Z313" s="252"/>
      <c r="AA313" s="252"/>
      <c r="AB313" s="12"/>
      <c r="AC313" s="12"/>
    </row>
    <row r="314" spans="1:29" ht="19.5" customHeight="1">
      <c r="A314" s="96">
        <f t="shared" si="67"/>
        <v>236</v>
      </c>
      <c r="B314" s="204" t="s">
        <v>785</v>
      </c>
      <c r="C314" s="97">
        <f t="shared" si="70"/>
        <v>2703795</v>
      </c>
      <c r="D314" s="86">
        <f t="shared" si="71"/>
        <v>0</v>
      </c>
      <c r="E314" s="86"/>
      <c r="F314" s="86"/>
      <c r="G314" s="86"/>
      <c r="H314" s="86"/>
      <c r="I314" s="86"/>
      <c r="J314" s="86"/>
      <c r="K314" s="86"/>
      <c r="L314" s="86">
        <v>437.4</v>
      </c>
      <c r="M314" s="97">
        <v>1727087</v>
      </c>
      <c r="N314" s="86"/>
      <c r="O314" s="86"/>
      <c r="P314" s="86">
        <v>474.2</v>
      </c>
      <c r="Q314" s="97">
        <v>976708</v>
      </c>
      <c r="R314" s="86"/>
      <c r="S314" s="86"/>
      <c r="T314" s="86"/>
      <c r="U314" s="86"/>
      <c r="V314" s="81"/>
      <c r="W314" s="97"/>
      <c r="X314" s="86"/>
      <c r="Y314" s="14"/>
      <c r="Z314" s="12"/>
      <c r="AA314" s="12"/>
      <c r="AB314" s="12"/>
      <c r="AC314" s="12"/>
    </row>
    <row r="315" spans="1:29" ht="15" customHeight="1">
      <c r="A315" s="96">
        <f t="shared" si="67"/>
        <v>237</v>
      </c>
      <c r="B315" s="204" t="s">
        <v>786</v>
      </c>
      <c r="C315" s="97">
        <f t="shared" si="70"/>
        <v>955438</v>
      </c>
      <c r="D315" s="86">
        <f t="shared" si="71"/>
        <v>0</v>
      </c>
      <c r="E315" s="86"/>
      <c r="F315" s="86"/>
      <c r="G315" s="86"/>
      <c r="H315" s="86"/>
      <c r="I315" s="86"/>
      <c r="J315" s="86"/>
      <c r="K315" s="86"/>
      <c r="L315" s="86"/>
      <c r="M315" s="97"/>
      <c r="N315" s="86"/>
      <c r="O315" s="86"/>
      <c r="P315" s="86">
        <v>466.5</v>
      </c>
      <c r="Q315" s="97">
        <v>955438</v>
      </c>
      <c r="R315" s="86"/>
      <c r="S315" s="86"/>
      <c r="T315" s="86"/>
      <c r="U315" s="86"/>
      <c r="V315" s="81"/>
      <c r="W315" s="97"/>
      <c r="X315" s="86"/>
      <c r="Y315" s="14"/>
      <c r="Z315" s="12"/>
      <c r="AA315" s="12"/>
      <c r="AB315" s="12"/>
      <c r="AC315" s="12"/>
    </row>
    <row r="316" spans="1:29" ht="15" customHeight="1">
      <c r="A316" s="96">
        <f t="shared" si="67"/>
        <v>238</v>
      </c>
      <c r="B316" s="204" t="s">
        <v>787</v>
      </c>
      <c r="C316" s="97">
        <f t="shared" si="70"/>
        <v>967530</v>
      </c>
      <c r="D316" s="86">
        <f t="shared" si="71"/>
        <v>0</v>
      </c>
      <c r="E316" s="86"/>
      <c r="F316" s="86"/>
      <c r="G316" s="86"/>
      <c r="H316" s="86"/>
      <c r="I316" s="86"/>
      <c r="J316" s="86"/>
      <c r="K316" s="86"/>
      <c r="L316" s="86"/>
      <c r="M316" s="97"/>
      <c r="N316" s="86"/>
      <c r="O316" s="86"/>
      <c r="P316" s="86">
        <v>471.9</v>
      </c>
      <c r="Q316" s="97">
        <v>967530</v>
      </c>
      <c r="R316" s="86"/>
      <c r="S316" s="86"/>
      <c r="T316" s="86"/>
      <c r="U316" s="86"/>
      <c r="V316" s="81"/>
      <c r="W316" s="97"/>
      <c r="X316" s="86"/>
      <c r="Y316" s="14"/>
      <c r="Z316" s="12"/>
      <c r="AA316" s="12"/>
      <c r="AB316" s="12"/>
      <c r="AC316" s="12"/>
    </row>
    <row r="317" spans="1:29" s="253" customFormat="1" ht="12.75">
      <c r="A317" s="96">
        <f t="shared" si="67"/>
        <v>239</v>
      </c>
      <c r="B317" s="82" t="s">
        <v>740</v>
      </c>
      <c r="C317" s="97">
        <f t="shared" si="70"/>
        <v>8653155</v>
      </c>
      <c r="D317" s="86">
        <f t="shared" si="71"/>
        <v>0</v>
      </c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96">
        <v>1628</v>
      </c>
      <c r="Q317" s="254">
        <v>8653155</v>
      </c>
      <c r="R317" s="86"/>
      <c r="S317" s="86"/>
      <c r="T317" s="81"/>
      <c r="U317" s="81"/>
      <c r="V317" s="81"/>
      <c r="W317" s="86"/>
      <c r="X317" s="250"/>
      <c r="Y317" s="251"/>
      <c r="Z317" s="252"/>
      <c r="AA317" s="252"/>
      <c r="AB317" s="12"/>
      <c r="AC317" s="12"/>
    </row>
    <row r="318" spans="1:29" s="253" customFormat="1" ht="12.75">
      <c r="A318" s="96">
        <f t="shared" si="67"/>
        <v>240</v>
      </c>
      <c r="B318" s="89" t="s">
        <v>741</v>
      </c>
      <c r="C318" s="97">
        <f t="shared" si="70"/>
        <v>4319396</v>
      </c>
      <c r="D318" s="86">
        <f t="shared" si="71"/>
        <v>4319396</v>
      </c>
      <c r="E318" s="86"/>
      <c r="F318" s="249">
        <v>2955581</v>
      </c>
      <c r="G318" s="249">
        <v>510880</v>
      </c>
      <c r="H318" s="86"/>
      <c r="I318" s="249">
        <v>852935</v>
      </c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1"/>
      <c r="W318" s="86"/>
      <c r="X318" s="250"/>
      <c r="Y318" s="251"/>
      <c r="Z318" s="252"/>
      <c r="AA318" s="252"/>
      <c r="AB318" s="12"/>
      <c r="AC318" s="12"/>
    </row>
    <row r="319" spans="1:29" ht="12.75" customHeight="1">
      <c r="A319" s="96">
        <f t="shared" si="67"/>
        <v>241</v>
      </c>
      <c r="B319" s="13" t="s">
        <v>270</v>
      </c>
      <c r="C319" s="97">
        <f t="shared" si="68"/>
        <v>3579830</v>
      </c>
      <c r="D319" s="86">
        <f t="shared" si="69"/>
        <v>0</v>
      </c>
      <c r="E319" s="86"/>
      <c r="F319" s="86"/>
      <c r="G319" s="86"/>
      <c r="H319" s="86"/>
      <c r="I319" s="86"/>
      <c r="J319" s="86"/>
      <c r="K319" s="86"/>
      <c r="L319" s="97">
        <v>355.4</v>
      </c>
      <c r="M319" s="97">
        <f>1656250</f>
        <v>1656250</v>
      </c>
      <c r="N319" s="97"/>
      <c r="O319" s="86"/>
      <c r="P319" s="97">
        <v>494.1</v>
      </c>
      <c r="Q319" s="97">
        <f>1717114</f>
        <v>1717114</v>
      </c>
      <c r="R319" s="86"/>
      <c r="S319" s="86"/>
      <c r="T319" s="86"/>
      <c r="U319" s="86"/>
      <c r="V319" s="81"/>
      <c r="W319" s="86">
        <f>108658+97808</f>
        <v>206466</v>
      </c>
      <c r="X319" s="97"/>
      <c r="Y319" s="14"/>
      <c r="Z319" s="12"/>
      <c r="AA319" s="14"/>
      <c r="AB319" s="12"/>
      <c r="AC319" s="12"/>
    </row>
    <row r="320" spans="1:29" ht="18" customHeight="1">
      <c r="A320" s="96">
        <f t="shared" si="67"/>
        <v>242</v>
      </c>
      <c r="B320" s="13" t="s">
        <v>261</v>
      </c>
      <c r="C320" s="97">
        <f t="shared" si="68"/>
        <v>713434</v>
      </c>
      <c r="D320" s="86">
        <f t="shared" si="69"/>
        <v>0</v>
      </c>
      <c r="E320" s="86"/>
      <c r="F320" s="86"/>
      <c r="G320" s="86"/>
      <c r="H320" s="86"/>
      <c r="I320" s="86"/>
      <c r="J320" s="86"/>
      <c r="K320" s="86"/>
      <c r="L320" s="97"/>
      <c r="M320" s="97"/>
      <c r="N320" s="97"/>
      <c r="O320" s="86"/>
      <c r="P320" s="97">
        <v>249.2</v>
      </c>
      <c r="Q320" s="97">
        <f>564708</f>
        <v>564708</v>
      </c>
      <c r="R320" s="86"/>
      <c r="S320" s="86"/>
      <c r="T320" s="86"/>
      <c r="U320" s="86"/>
      <c r="V320" s="81"/>
      <c r="W320" s="97">
        <v>148726</v>
      </c>
      <c r="X320" s="97"/>
      <c r="Y320" s="14"/>
      <c r="Z320" s="12"/>
      <c r="AA320" s="12"/>
      <c r="AB320" s="12"/>
      <c r="AC320" s="12"/>
    </row>
    <row r="321" spans="1:29" ht="12.75">
      <c r="A321" s="96">
        <f t="shared" si="67"/>
        <v>243</v>
      </c>
      <c r="B321" s="13" t="s">
        <v>271</v>
      </c>
      <c r="C321" s="97">
        <f t="shared" si="68"/>
        <v>2549585</v>
      </c>
      <c r="D321" s="86">
        <f t="shared" si="69"/>
        <v>0</v>
      </c>
      <c r="E321" s="86"/>
      <c r="F321" s="86"/>
      <c r="G321" s="86"/>
      <c r="H321" s="86"/>
      <c r="I321" s="86"/>
      <c r="J321" s="86"/>
      <c r="K321" s="86"/>
      <c r="L321" s="97"/>
      <c r="M321" s="97"/>
      <c r="N321" s="97"/>
      <c r="O321" s="86"/>
      <c r="P321" s="97">
        <v>744</v>
      </c>
      <c r="Q321" s="97">
        <f>2549585</f>
        <v>2549585</v>
      </c>
      <c r="R321" s="86"/>
      <c r="S321" s="86"/>
      <c r="T321" s="86"/>
      <c r="U321" s="86"/>
      <c r="V321" s="81"/>
      <c r="W321" s="97"/>
      <c r="X321" s="97"/>
      <c r="Y321" s="14"/>
      <c r="Z321" s="12"/>
      <c r="AA321" s="12"/>
      <c r="AB321" s="12"/>
      <c r="AC321" s="12"/>
    </row>
    <row r="322" spans="1:29" ht="12.75" customHeight="1">
      <c r="A322" s="96">
        <f t="shared" si="67"/>
        <v>244</v>
      </c>
      <c r="B322" s="13" t="s">
        <v>272</v>
      </c>
      <c r="C322" s="97">
        <f t="shared" si="68"/>
        <v>2844745</v>
      </c>
      <c r="D322" s="86">
        <f t="shared" si="69"/>
        <v>0</v>
      </c>
      <c r="E322" s="86"/>
      <c r="F322" s="86"/>
      <c r="G322" s="86"/>
      <c r="H322" s="86"/>
      <c r="I322" s="86"/>
      <c r="J322" s="86"/>
      <c r="K322" s="86"/>
      <c r="L322" s="86"/>
      <c r="M322" s="97"/>
      <c r="N322" s="86"/>
      <c r="O322" s="86"/>
      <c r="P322" s="86">
        <v>744</v>
      </c>
      <c r="Q322" s="86">
        <f>2844745</f>
        <v>2844745</v>
      </c>
      <c r="R322" s="86"/>
      <c r="S322" s="86"/>
      <c r="T322" s="81"/>
      <c r="U322" s="81"/>
      <c r="V322" s="97"/>
      <c r="W322" s="97"/>
      <c r="X322" s="97"/>
      <c r="Y322" s="14"/>
      <c r="Z322" s="12"/>
      <c r="AA322" s="11"/>
      <c r="AB322" s="12"/>
      <c r="AC322" s="12"/>
    </row>
    <row r="323" spans="1:29" ht="12.75" customHeight="1">
      <c r="A323" s="96">
        <f t="shared" si="67"/>
        <v>245</v>
      </c>
      <c r="B323" s="13" t="s">
        <v>262</v>
      </c>
      <c r="C323" s="97">
        <f t="shared" si="68"/>
        <v>2398060</v>
      </c>
      <c r="D323" s="86">
        <f t="shared" si="69"/>
        <v>0</v>
      </c>
      <c r="E323" s="86"/>
      <c r="F323" s="86"/>
      <c r="G323" s="86"/>
      <c r="H323" s="86"/>
      <c r="I323" s="86"/>
      <c r="J323" s="86"/>
      <c r="K323" s="86"/>
      <c r="L323" s="86"/>
      <c r="M323" s="97"/>
      <c r="N323" s="86"/>
      <c r="O323" s="86"/>
      <c r="P323" s="86">
        <v>423</v>
      </c>
      <c r="Q323" s="86">
        <f>2218046</f>
        <v>2218046</v>
      </c>
      <c r="R323" s="86"/>
      <c r="S323" s="86"/>
      <c r="T323" s="86"/>
      <c r="U323" s="86"/>
      <c r="V323" s="86"/>
      <c r="W323" s="97">
        <v>180014</v>
      </c>
      <c r="X323" s="86"/>
      <c r="Y323" s="14"/>
      <c r="Z323" s="12"/>
      <c r="AA323" s="11"/>
      <c r="AB323" s="12"/>
      <c r="AC323" s="12"/>
    </row>
    <row r="324" spans="1:29" ht="12.75">
      <c r="A324" s="96">
        <f t="shared" si="67"/>
        <v>246</v>
      </c>
      <c r="B324" s="13" t="s">
        <v>263</v>
      </c>
      <c r="C324" s="97">
        <f t="shared" si="68"/>
        <v>3581755</v>
      </c>
      <c r="D324" s="86">
        <f t="shared" si="69"/>
        <v>0</v>
      </c>
      <c r="E324" s="86"/>
      <c r="F324" s="86"/>
      <c r="G324" s="86"/>
      <c r="H324" s="86"/>
      <c r="I324" s="86"/>
      <c r="J324" s="86"/>
      <c r="K324" s="86"/>
      <c r="L324" s="86"/>
      <c r="M324" s="97"/>
      <c r="N324" s="86"/>
      <c r="O324" s="86"/>
      <c r="P324" s="86">
        <v>634.5</v>
      </c>
      <c r="Q324" s="97">
        <f>3581755</f>
        <v>3581755</v>
      </c>
      <c r="R324" s="86"/>
      <c r="S324" s="86"/>
      <c r="T324" s="86"/>
      <c r="U324" s="86"/>
      <c r="V324" s="81"/>
      <c r="W324" s="86"/>
      <c r="X324" s="86"/>
      <c r="Y324" s="14"/>
      <c r="Z324" s="12"/>
      <c r="AA324" s="12"/>
      <c r="AB324" s="12"/>
      <c r="AC324" s="12"/>
    </row>
    <row r="325" spans="1:29" s="253" customFormat="1" ht="12.75">
      <c r="A325" s="96">
        <f t="shared" si="67"/>
        <v>247</v>
      </c>
      <c r="B325" s="89" t="s">
        <v>742</v>
      </c>
      <c r="C325" s="97">
        <f>D325+K325+M325+O325+Q325+S325+U325+V325+W325+X325</f>
        <v>8275991</v>
      </c>
      <c r="D325" s="86">
        <f>E325+F325+G325+H325+I325</f>
        <v>0</v>
      </c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96">
        <v>406</v>
      </c>
      <c r="S325" s="254">
        <v>8275991</v>
      </c>
      <c r="T325" s="86"/>
      <c r="U325" s="86"/>
      <c r="V325" s="81"/>
      <c r="W325" s="86"/>
      <c r="X325" s="250"/>
      <c r="Y325" s="251"/>
      <c r="Z325" s="252"/>
      <c r="AA325" s="252"/>
      <c r="AB325" s="12"/>
      <c r="AC325" s="12"/>
    </row>
    <row r="326" spans="1:29" ht="13.5" customHeight="1">
      <c r="A326" s="96">
        <f t="shared" si="67"/>
        <v>248</v>
      </c>
      <c r="B326" s="13" t="s">
        <v>273</v>
      </c>
      <c r="C326" s="97">
        <f t="shared" si="68"/>
        <v>2855824</v>
      </c>
      <c r="D326" s="86">
        <f t="shared" si="69"/>
        <v>0</v>
      </c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>
        <v>281.9</v>
      </c>
      <c r="Q326" s="86">
        <f>2855824</f>
        <v>2855824</v>
      </c>
      <c r="R326" s="86"/>
      <c r="S326" s="86"/>
      <c r="T326" s="86"/>
      <c r="U326" s="86"/>
      <c r="V326" s="81"/>
      <c r="W326" s="86"/>
      <c r="X326" s="86"/>
      <c r="Y326" s="14"/>
      <c r="Z326" s="12"/>
      <c r="AA326" s="11"/>
      <c r="AB326" s="12"/>
      <c r="AC326" s="12"/>
    </row>
    <row r="327" spans="1:29" ht="12.75" customHeight="1">
      <c r="A327" s="96">
        <f t="shared" si="67"/>
        <v>249</v>
      </c>
      <c r="B327" s="13" t="s">
        <v>274</v>
      </c>
      <c r="C327" s="97">
        <f t="shared" si="68"/>
        <v>3352189</v>
      </c>
      <c r="D327" s="86">
        <f t="shared" si="69"/>
        <v>0</v>
      </c>
      <c r="E327" s="86"/>
      <c r="F327" s="86"/>
      <c r="G327" s="86"/>
      <c r="H327" s="86"/>
      <c r="I327" s="86"/>
      <c r="J327" s="86"/>
      <c r="K327" s="86"/>
      <c r="L327" s="86"/>
      <c r="M327" s="97"/>
      <c r="N327" s="86"/>
      <c r="O327" s="86"/>
      <c r="P327" s="86">
        <v>836.8</v>
      </c>
      <c r="Q327" s="86">
        <f>3109602</f>
        <v>3109602</v>
      </c>
      <c r="R327" s="86"/>
      <c r="S327" s="86"/>
      <c r="T327" s="86"/>
      <c r="U327" s="97"/>
      <c r="V327" s="81"/>
      <c r="W327" s="97">
        <f>131253+111334</f>
        <v>242587</v>
      </c>
      <c r="X327" s="97"/>
      <c r="Y327" s="14"/>
      <c r="Z327" s="12"/>
      <c r="AA327" s="11"/>
      <c r="AB327" s="12"/>
      <c r="AC327" s="12"/>
    </row>
    <row r="328" spans="1:29" ht="12.75" customHeight="1">
      <c r="A328" s="96">
        <f t="shared" si="67"/>
        <v>250</v>
      </c>
      <c r="B328" s="13" t="s">
        <v>265</v>
      </c>
      <c r="C328" s="97">
        <f t="shared" si="68"/>
        <v>1671755</v>
      </c>
      <c r="D328" s="86">
        <f t="shared" si="69"/>
        <v>0</v>
      </c>
      <c r="E328" s="86"/>
      <c r="F328" s="86"/>
      <c r="G328" s="86"/>
      <c r="H328" s="86"/>
      <c r="I328" s="86"/>
      <c r="J328" s="86"/>
      <c r="K328" s="86"/>
      <c r="L328" s="86"/>
      <c r="M328" s="97"/>
      <c r="N328" s="86"/>
      <c r="O328" s="86"/>
      <c r="P328" s="86">
        <v>695</v>
      </c>
      <c r="Q328" s="86">
        <f>1473556</f>
        <v>1473556</v>
      </c>
      <c r="R328" s="86"/>
      <c r="S328" s="86"/>
      <c r="T328" s="86"/>
      <c r="U328" s="86"/>
      <c r="V328" s="81"/>
      <c r="W328" s="97">
        <f>104892+93307</f>
        <v>198199</v>
      </c>
      <c r="X328" s="86"/>
      <c r="Y328" s="14"/>
      <c r="Z328" s="12"/>
      <c r="AA328" s="11"/>
      <c r="AB328" s="12"/>
      <c r="AC328" s="12"/>
    </row>
    <row r="329" spans="1:29" ht="12.75" customHeight="1">
      <c r="A329" s="96">
        <f t="shared" si="67"/>
        <v>251</v>
      </c>
      <c r="B329" s="13" t="s">
        <v>275</v>
      </c>
      <c r="C329" s="97">
        <f t="shared" si="68"/>
        <v>1164775</v>
      </c>
      <c r="D329" s="86">
        <f t="shared" si="69"/>
        <v>0</v>
      </c>
      <c r="E329" s="86"/>
      <c r="F329" s="86"/>
      <c r="G329" s="86"/>
      <c r="H329" s="86"/>
      <c r="I329" s="86"/>
      <c r="J329" s="86"/>
      <c r="K329" s="86"/>
      <c r="L329" s="86"/>
      <c r="M329" s="97"/>
      <c r="N329" s="86"/>
      <c r="O329" s="86"/>
      <c r="P329" s="86">
        <v>168</v>
      </c>
      <c r="Q329" s="86">
        <f>1048151</f>
        <v>1048151</v>
      </c>
      <c r="R329" s="86"/>
      <c r="S329" s="86"/>
      <c r="T329" s="86"/>
      <c r="U329" s="86"/>
      <c r="V329" s="81"/>
      <c r="W329" s="86">
        <v>116624</v>
      </c>
      <c r="X329" s="86"/>
      <c r="Y329" s="14"/>
      <c r="Z329" s="12"/>
      <c r="AA329" s="11"/>
      <c r="AB329" s="12"/>
      <c r="AC329" s="12"/>
    </row>
    <row r="330" spans="1:29" ht="12.75" customHeight="1">
      <c r="A330" s="96">
        <f t="shared" si="67"/>
        <v>252</v>
      </c>
      <c r="B330" s="242" t="s">
        <v>264</v>
      </c>
      <c r="C330" s="97">
        <f t="shared" si="68"/>
        <v>153104</v>
      </c>
      <c r="D330" s="86">
        <f t="shared" si="69"/>
        <v>0</v>
      </c>
      <c r="E330" s="81"/>
      <c r="F330" s="81"/>
      <c r="G330" s="81"/>
      <c r="H330" s="81"/>
      <c r="I330" s="81"/>
      <c r="J330" s="81"/>
      <c r="K330" s="81"/>
      <c r="L330" s="86"/>
      <c r="M330" s="81"/>
      <c r="N330" s="81"/>
      <c r="O330" s="81"/>
      <c r="P330" s="86"/>
      <c r="Q330" s="86"/>
      <c r="R330" s="86"/>
      <c r="S330" s="86"/>
      <c r="T330" s="86"/>
      <c r="U330" s="86"/>
      <c r="V330" s="81"/>
      <c r="W330" s="97">
        <v>153104</v>
      </c>
      <c r="X330" s="81"/>
      <c r="Y330" s="14"/>
      <c r="Z330" s="12"/>
      <c r="AA330" s="11"/>
      <c r="AB330" s="12"/>
      <c r="AC330" s="12"/>
    </row>
    <row r="331" spans="1:29" ht="12.75" customHeight="1">
      <c r="A331" s="96">
        <f t="shared" si="67"/>
        <v>253</v>
      </c>
      <c r="B331" s="242" t="s">
        <v>276</v>
      </c>
      <c r="C331" s="97">
        <f t="shared" si="68"/>
        <v>867189</v>
      </c>
      <c r="D331" s="86">
        <f t="shared" si="69"/>
        <v>0</v>
      </c>
      <c r="E331" s="81"/>
      <c r="F331" s="81"/>
      <c r="G331" s="81"/>
      <c r="H331" s="81"/>
      <c r="I331" s="81"/>
      <c r="J331" s="81"/>
      <c r="K331" s="81"/>
      <c r="L331" s="86"/>
      <c r="M331" s="81"/>
      <c r="N331" s="81"/>
      <c r="O331" s="81"/>
      <c r="P331" s="86">
        <v>438.1</v>
      </c>
      <c r="Q331" s="86">
        <f>680142</f>
        <v>680142</v>
      </c>
      <c r="R331" s="86"/>
      <c r="S331" s="86"/>
      <c r="T331" s="86"/>
      <c r="U331" s="86"/>
      <c r="V331" s="81"/>
      <c r="W331" s="86">
        <f>99911+87136</f>
        <v>187047</v>
      </c>
      <c r="X331" s="81"/>
      <c r="Y331" s="14"/>
      <c r="Z331" s="12"/>
      <c r="AA331" s="11"/>
      <c r="AB331" s="12"/>
      <c r="AC331" s="12"/>
    </row>
    <row r="332" spans="1:29" ht="12.75">
      <c r="A332" s="96">
        <f t="shared" si="67"/>
        <v>254</v>
      </c>
      <c r="B332" s="13" t="s">
        <v>267</v>
      </c>
      <c r="C332" s="97">
        <f t="shared" si="68"/>
        <v>1518763</v>
      </c>
      <c r="D332" s="86">
        <f t="shared" si="69"/>
        <v>0</v>
      </c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>
        <v>1058.9</v>
      </c>
      <c r="Q332" s="97">
        <f>1417442</f>
        <v>1417442</v>
      </c>
      <c r="R332" s="86"/>
      <c r="S332" s="86"/>
      <c r="T332" s="86"/>
      <c r="U332" s="86"/>
      <c r="V332" s="81"/>
      <c r="W332" s="86">
        <v>101321</v>
      </c>
      <c r="X332" s="86"/>
      <c r="Y332" s="14"/>
      <c r="Z332" s="12"/>
      <c r="AA332" s="12"/>
      <c r="AB332" s="12"/>
      <c r="AC332" s="12"/>
    </row>
    <row r="333" spans="1:29" ht="19.5" customHeight="1">
      <c r="A333" s="96">
        <f t="shared" si="67"/>
        <v>255</v>
      </c>
      <c r="B333" s="13" t="s">
        <v>277</v>
      </c>
      <c r="C333" s="97">
        <f t="shared" si="68"/>
        <v>3011645</v>
      </c>
      <c r="D333" s="86">
        <f t="shared" si="69"/>
        <v>0</v>
      </c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86">
        <v>1162.8</v>
      </c>
      <c r="Q333" s="97">
        <f>2769450</f>
        <v>2769450</v>
      </c>
      <c r="R333" s="86"/>
      <c r="S333" s="86"/>
      <c r="T333" s="86"/>
      <c r="U333" s="86"/>
      <c r="V333" s="81"/>
      <c r="W333" s="97">
        <f>120503+121692</f>
        <v>242195</v>
      </c>
      <c r="X333" s="86"/>
      <c r="Y333" s="14"/>
      <c r="Z333" s="12"/>
      <c r="AA333" s="12"/>
      <c r="AB333" s="12"/>
      <c r="AC333" s="12"/>
    </row>
    <row r="334" spans="1:29" s="253" customFormat="1" ht="12.75">
      <c r="A334" s="96">
        <f t="shared" si="67"/>
        <v>256</v>
      </c>
      <c r="B334" s="82" t="s">
        <v>743</v>
      </c>
      <c r="C334" s="97">
        <f>D334+K334+M334+O334+Q334+S334+U334+V334+W334+X334</f>
        <v>9483231</v>
      </c>
      <c r="D334" s="86">
        <f>E334+F334+G334+H334+I334</f>
        <v>9483231</v>
      </c>
      <c r="E334" s="86"/>
      <c r="F334" s="249">
        <v>7392198</v>
      </c>
      <c r="G334" s="249">
        <v>974764</v>
      </c>
      <c r="H334" s="86"/>
      <c r="I334" s="249">
        <v>1116269</v>
      </c>
      <c r="J334" s="10"/>
      <c r="K334" s="86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1"/>
      <c r="W334" s="86"/>
      <c r="X334" s="250"/>
      <c r="Y334" s="251"/>
      <c r="Z334" s="252"/>
      <c r="AA334" s="252"/>
      <c r="AB334" s="12"/>
      <c r="AC334" s="12"/>
    </row>
    <row r="335" spans="1:29" s="253" customFormat="1" ht="12.75">
      <c r="A335" s="96">
        <f t="shared" si="67"/>
        <v>257</v>
      </c>
      <c r="B335" s="89" t="s">
        <v>744</v>
      </c>
      <c r="C335" s="97">
        <f>D335+K335+M335+O335+Q335+S335+U335+V335+W335+X335</f>
        <v>847198</v>
      </c>
      <c r="D335" s="86">
        <f>E335+F335+G335+H335+I335</f>
        <v>847198</v>
      </c>
      <c r="E335" s="249">
        <v>847198</v>
      </c>
      <c r="F335" s="86"/>
      <c r="G335" s="86"/>
      <c r="H335" s="86"/>
      <c r="I335" s="86"/>
      <c r="J335" s="10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1"/>
      <c r="W335" s="86"/>
      <c r="X335" s="250"/>
      <c r="Y335" s="251"/>
      <c r="Z335" s="252"/>
      <c r="AA335" s="252"/>
      <c r="AB335" s="12"/>
      <c r="AC335" s="12"/>
    </row>
    <row r="336" spans="1:29" s="253" customFormat="1" ht="12.75">
      <c r="A336" s="96">
        <f t="shared" si="67"/>
        <v>258</v>
      </c>
      <c r="B336" s="89" t="s">
        <v>745</v>
      </c>
      <c r="C336" s="97">
        <f>D336+K336+M336+O336+Q336+S336+U336+V336+W336+X336</f>
        <v>719692</v>
      </c>
      <c r="D336" s="86">
        <f>E336+F336+G336+H336+I336</f>
        <v>719692</v>
      </c>
      <c r="E336" s="249">
        <v>719692</v>
      </c>
      <c r="F336" s="86"/>
      <c r="G336" s="86"/>
      <c r="H336" s="86"/>
      <c r="I336" s="86"/>
      <c r="J336" s="10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1"/>
      <c r="W336" s="86"/>
      <c r="X336" s="250"/>
      <c r="Y336" s="251"/>
      <c r="Z336" s="252"/>
      <c r="AA336" s="252"/>
      <c r="AB336" s="12"/>
      <c r="AC336" s="12"/>
    </row>
    <row r="337" spans="1:29" ht="12.75" customHeight="1">
      <c r="A337" s="96">
        <f t="shared" si="67"/>
        <v>259</v>
      </c>
      <c r="B337" s="13" t="s">
        <v>266</v>
      </c>
      <c r="C337" s="97">
        <f t="shared" si="68"/>
        <v>1608357</v>
      </c>
      <c r="D337" s="86">
        <f t="shared" si="69"/>
        <v>0</v>
      </c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  <c r="P337" s="86">
        <v>1318</v>
      </c>
      <c r="Q337" s="86">
        <f>1182917</f>
        <v>1182917</v>
      </c>
      <c r="R337" s="86"/>
      <c r="S337" s="86"/>
      <c r="T337" s="86"/>
      <c r="U337" s="86"/>
      <c r="V337" s="81"/>
      <c r="W337" s="86">
        <f>232717.48+192722.52</f>
        <v>425440</v>
      </c>
      <c r="X337" s="86"/>
      <c r="Y337" s="14"/>
      <c r="Z337" s="12"/>
      <c r="AA337" s="11"/>
      <c r="AB337" s="12"/>
      <c r="AC337" s="12"/>
    </row>
    <row r="338" spans="1:29" ht="12.75" customHeight="1">
      <c r="A338" s="130" t="s">
        <v>597</v>
      </c>
      <c r="B338" s="130"/>
      <c r="C338" s="86">
        <f aca="true" t="shared" si="72" ref="C338:X338">SUM(C289:C337)</f>
        <v>140726989</v>
      </c>
      <c r="D338" s="86">
        <f t="shared" si="72"/>
        <v>38613886</v>
      </c>
      <c r="E338" s="86">
        <f t="shared" si="72"/>
        <v>8934286</v>
      </c>
      <c r="F338" s="86">
        <f t="shared" si="72"/>
        <v>22194081</v>
      </c>
      <c r="G338" s="86">
        <f t="shared" si="72"/>
        <v>3495549</v>
      </c>
      <c r="H338" s="86">
        <f t="shared" si="72"/>
        <v>0</v>
      </c>
      <c r="I338" s="86">
        <f t="shared" si="72"/>
        <v>3989970</v>
      </c>
      <c r="J338" s="86">
        <f t="shared" si="72"/>
        <v>0</v>
      </c>
      <c r="K338" s="86">
        <f t="shared" si="72"/>
        <v>0</v>
      </c>
      <c r="L338" s="86">
        <f t="shared" si="72"/>
        <v>4858.9</v>
      </c>
      <c r="M338" s="86">
        <f t="shared" si="72"/>
        <v>21836990</v>
      </c>
      <c r="N338" s="86">
        <f t="shared" si="72"/>
        <v>0</v>
      </c>
      <c r="O338" s="86">
        <f t="shared" si="72"/>
        <v>0</v>
      </c>
      <c r="P338" s="86">
        <f t="shared" si="72"/>
        <v>24282.100000000002</v>
      </c>
      <c r="Q338" s="86">
        <f t="shared" si="72"/>
        <v>68621685</v>
      </c>
      <c r="R338" s="86">
        <f t="shared" si="72"/>
        <v>551</v>
      </c>
      <c r="S338" s="86">
        <f t="shared" si="72"/>
        <v>9040400</v>
      </c>
      <c r="T338" s="86">
        <f t="shared" si="72"/>
        <v>0</v>
      </c>
      <c r="U338" s="86">
        <f t="shared" si="72"/>
        <v>0</v>
      </c>
      <c r="V338" s="86">
        <f t="shared" si="72"/>
        <v>0</v>
      </c>
      <c r="W338" s="86">
        <f t="shared" si="72"/>
        <v>2614028</v>
      </c>
      <c r="X338" s="86">
        <f t="shared" si="72"/>
        <v>0</v>
      </c>
      <c r="Y338" s="14"/>
      <c r="Z338" s="12"/>
      <c r="AA338" s="12"/>
      <c r="AB338" s="12"/>
      <c r="AC338" s="12"/>
    </row>
    <row r="339" spans="1:29" s="26" customFormat="1" ht="15" customHeight="1">
      <c r="A339" s="120" t="s">
        <v>746</v>
      </c>
      <c r="B339" s="121"/>
      <c r="C339" s="121"/>
      <c r="D339" s="121"/>
      <c r="E339" s="122"/>
      <c r="F339" s="160"/>
      <c r="G339" s="161"/>
      <c r="H339" s="161"/>
      <c r="I339" s="161"/>
      <c r="J339" s="161"/>
      <c r="K339" s="161"/>
      <c r="L339" s="161"/>
      <c r="M339" s="161"/>
      <c r="N339" s="161"/>
      <c r="O339" s="161"/>
      <c r="P339" s="161"/>
      <c r="Q339" s="161"/>
      <c r="R339" s="161"/>
      <c r="S339" s="161"/>
      <c r="T339" s="161"/>
      <c r="U339" s="161"/>
      <c r="V339" s="161"/>
      <c r="W339" s="162"/>
      <c r="X339" s="250"/>
      <c r="Y339" s="267"/>
      <c r="Z339" s="268"/>
      <c r="AA339" s="268"/>
      <c r="AB339" s="12"/>
      <c r="AC339" s="12"/>
    </row>
    <row r="340" spans="1:29" s="253" customFormat="1" ht="12.75">
      <c r="A340" s="10">
        <f>A337+1</f>
        <v>260</v>
      </c>
      <c r="B340" s="89" t="s">
        <v>747</v>
      </c>
      <c r="C340" s="97">
        <f>D340+K340+M340+O340+Q340+S340+U340+V340+W340</f>
        <v>816426</v>
      </c>
      <c r="D340" s="86">
        <f>E340+F340+G340+H340+I340</f>
        <v>816426</v>
      </c>
      <c r="E340" s="249">
        <v>816426</v>
      </c>
      <c r="F340" s="86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97"/>
      <c r="X340" s="250"/>
      <c r="Y340" s="251"/>
      <c r="Z340" s="252"/>
      <c r="AA340" s="252"/>
      <c r="AB340" s="12"/>
      <c r="AC340" s="12"/>
    </row>
    <row r="341" spans="1:29" s="26" customFormat="1" ht="15">
      <c r="A341" s="138" t="s">
        <v>597</v>
      </c>
      <c r="B341" s="139"/>
      <c r="C341" s="86">
        <f>SUM(C340)</f>
        <v>816426</v>
      </c>
      <c r="D341" s="86">
        <f aca="true" t="shared" si="73" ref="D341:X341">SUM(D340)</f>
        <v>816426</v>
      </c>
      <c r="E341" s="86">
        <f t="shared" si="73"/>
        <v>816426</v>
      </c>
      <c r="F341" s="86">
        <f t="shared" si="73"/>
        <v>0</v>
      </c>
      <c r="G341" s="86">
        <f t="shared" si="73"/>
        <v>0</v>
      </c>
      <c r="H341" s="86">
        <f t="shared" si="73"/>
        <v>0</v>
      </c>
      <c r="I341" s="86">
        <f t="shared" si="73"/>
        <v>0</v>
      </c>
      <c r="J341" s="86">
        <f t="shared" si="73"/>
        <v>0</v>
      </c>
      <c r="K341" s="86">
        <f t="shared" si="73"/>
        <v>0</v>
      </c>
      <c r="L341" s="86">
        <f t="shared" si="73"/>
        <v>0</v>
      </c>
      <c r="M341" s="86">
        <f t="shared" si="73"/>
        <v>0</v>
      </c>
      <c r="N341" s="86">
        <f t="shared" si="73"/>
        <v>0</v>
      </c>
      <c r="O341" s="86">
        <f t="shared" si="73"/>
        <v>0</v>
      </c>
      <c r="P341" s="86">
        <f t="shared" si="73"/>
        <v>0</v>
      </c>
      <c r="Q341" s="86">
        <f t="shared" si="73"/>
        <v>0</v>
      </c>
      <c r="R341" s="86">
        <f t="shared" si="73"/>
        <v>0</v>
      </c>
      <c r="S341" s="86">
        <f t="shared" si="73"/>
        <v>0</v>
      </c>
      <c r="T341" s="86">
        <f t="shared" si="73"/>
        <v>0</v>
      </c>
      <c r="U341" s="86">
        <f t="shared" si="73"/>
        <v>0</v>
      </c>
      <c r="V341" s="86">
        <f t="shared" si="73"/>
        <v>0</v>
      </c>
      <c r="W341" s="86">
        <f t="shared" si="73"/>
        <v>0</v>
      </c>
      <c r="X341" s="86">
        <f t="shared" si="73"/>
        <v>0</v>
      </c>
      <c r="Y341" s="14"/>
      <c r="Z341" s="12"/>
      <c r="AA341" s="268"/>
      <c r="AB341" s="12"/>
      <c r="AC341" s="12"/>
    </row>
    <row r="342" spans="1:29" ht="12.75" customHeight="1">
      <c r="A342" s="123" t="s">
        <v>623</v>
      </c>
      <c r="B342" s="123"/>
      <c r="C342" s="81">
        <f aca="true" t="shared" si="74" ref="C342:X342">C287+C338+C341</f>
        <v>146446723</v>
      </c>
      <c r="D342" s="81">
        <f t="shared" si="74"/>
        <v>39430312</v>
      </c>
      <c r="E342" s="81">
        <f t="shared" si="74"/>
        <v>9750712</v>
      </c>
      <c r="F342" s="81">
        <f t="shared" si="74"/>
        <v>22194081</v>
      </c>
      <c r="G342" s="81">
        <f t="shared" si="74"/>
        <v>3495549</v>
      </c>
      <c r="H342" s="81">
        <f t="shared" si="74"/>
        <v>0</v>
      </c>
      <c r="I342" s="81">
        <f t="shared" si="74"/>
        <v>3989970</v>
      </c>
      <c r="J342" s="81">
        <f t="shared" si="74"/>
        <v>0</v>
      </c>
      <c r="K342" s="81">
        <f t="shared" si="74"/>
        <v>0</v>
      </c>
      <c r="L342" s="81">
        <f t="shared" si="74"/>
        <v>4858.9</v>
      </c>
      <c r="M342" s="81">
        <f t="shared" si="74"/>
        <v>21836990</v>
      </c>
      <c r="N342" s="81">
        <f t="shared" si="74"/>
        <v>0</v>
      </c>
      <c r="O342" s="81">
        <f t="shared" si="74"/>
        <v>0</v>
      </c>
      <c r="P342" s="81">
        <f t="shared" si="74"/>
        <v>24282.100000000002</v>
      </c>
      <c r="Q342" s="81">
        <f t="shared" si="74"/>
        <v>68621685</v>
      </c>
      <c r="R342" s="81">
        <f t="shared" si="74"/>
        <v>551</v>
      </c>
      <c r="S342" s="81">
        <f t="shared" si="74"/>
        <v>9040400</v>
      </c>
      <c r="T342" s="81">
        <f t="shared" si="74"/>
        <v>0</v>
      </c>
      <c r="U342" s="81">
        <f t="shared" si="74"/>
        <v>0</v>
      </c>
      <c r="V342" s="81">
        <f t="shared" si="74"/>
        <v>0</v>
      </c>
      <c r="W342" s="81">
        <f t="shared" si="74"/>
        <v>7517336</v>
      </c>
      <c r="X342" s="81">
        <f t="shared" si="74"/>
        <v>0</v>
      </c>
      <c r="Y342" s="14"/>
      <c r="Z342" s="12"/>
      <c r="AA342" s="20"/>
      <c r="AB342" s="12"/>
      <c r="AC342" s="12"/>
    </row>
    <row r="343" spans="1:29" ht="12.75" customHeight="1">
      <c r="A343" s="133" t="s">
        <v>624</v>
      </c>
      <c r="B343" s="133"/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4"/>
      <c r="Z343" s="12"/>
      <c r="AB343" s="12"/>
      <c r="AC343" s="12"/>
    </row>
    <row r="344" spans="1:29" ht="12.75" customHeight="1">
      <c r="A344" s="123" t="s">
        <v>625</v>
      </c>
      <c r="B344" s="123"/>
      <c r="C344" s="123"/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  <c r="T344" s="127"/>
      <c r="U344" s="127"/>
      <c r="V344" s="127"/>
      <c r="W344" s="127"/>
      <c r="X344" s="127"/>
      <c r="Y344" s="14"/>
      <c r="Z344" s="12"/>
      <c r="AB344" s="12"/>
      <c r="AC344" s="12"/>
    </row>
    <row r="345" spans="1:29" ht="12.75" customHeight="1">
      <c r="A345" s="10">
        <f>A340+1</f>
        <v>261</v>
      </c>
      <c r="B345" s="13" t="s">
        <v>278</v>
      </c>
      <c r="C345" s="97">
        <f>D345+K345+M345+O345+Q345+S345+U345+V345+W345+X345</f>
        <v>3022936</v>
      </c>
      <c r="D345" s="86">
        <f>E345+F345+G345+H345+I345</f>
        <v>0</v>
      </c>
      <c r="E345" s="97"/>
      <c r="F345" s="97"/>
      <c r="G345" s="97"/>
      <c r="H345" s="97"/>
      <c r="I345" s="97"/>
      <c r="J345" s="96">
        <v>1</v>
      </c>
      <c r="K345" s="86">
        <v>2800000</v>
      </c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86">
        <v>222936</v>
      </c>
      <c r="X345" s="97"/>
      <c r="Y345" s="14"/>
      <c r="Z345" s="12"/>
      <c r="AB345" s="12"/>
      <c r="AC345" s="12"/>
    </row>
    <row r="346" spans="1:29" ht="12.75" customHeight="1">
      <c r="A346" s="10">
        <f>A345+1</f>
        <v>262</v>
      </c>
      <c r="B346" s="13" t="s">
        <v>279</v>
      </c>
      <c r="C346" s="97">
        <f aca="true" t="shared" si="75" ref="C346:C356">D346+K346+M346+O346+Q346+S346+U346+V346+W346+X346</f>
        <v>3022936</v>
      </c>
      <c r="D346" s="86">
        <f aca="true" t="shared" si="76" ref="D346:D356">E346+F346+G346+H346+I346</f>
        <v>0</v>
      </c>
      <c r="E346" s="97"/>
      <c r="F346" s="97"/>
      <c r="G346" s="97"/>
      <c r="H346" s="97"/>
      <c r="I346" s="97"/>
      <c r="J346" s="96">
        <v>1</v>
      </c>
      <c r="K346" s="86">
        <v>2800000</v>
      </c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86">
        <v>222936</v>
      </c>
      <c r="X346" s="97"/>
      <c r="Y346" s="14"/>
      <c r="Z346" s="12"/>
      <c r="AB346" s="12"/>
      <c r="AC346" s="12"/>
    </row>
    <row r="347" spans="1:29" ht="12.75" customHeight="1">
      <c r="A347" s="10">
        <f aca="true" t="shared" si="77" ref="A347:A356">A346+1</f>
        <v>263</v>
      </c>
      <c r="B347" s="13" t="s">
        <v>280</v>
      </c>
      <c r="C347" s="97">
        <f t="shared" si="75"/>
        <v>15114678</v>
      </c>
      <c r="D347" s="86">
        <f t="shared" si="76"/>
        <v>0</v>
      </c>
      <c r="E347" s="97"/>
      <c r="F347" s="97"/>
      <c r="G347" s="97"/>
      <c r="H347" s="97"/>
      <c r="I347" s="97"/>
      <c r="J347" s="96">
        <v>5</v>
      </c>
      <c r="K347" s="86">
        <v>14000000</v>
      </c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86">
        <v>1114678</v>
      </c>
      <c r="X347" s="97"/>
      <c r="Y347" s="14"/>
      <c r="Z347" s="12"/>
      <c r="AB347" s="12"/>
      <c r="AC347" s="12"/>
    </row>
    <row r="348" spans="1:29" ht="12.75" customHeight="1">
      <c r="A348" s="10">
        <f t="shared" si="77"/>
        <v>264</v>
      </c>
      <c r="B348" s="13" t="s">
        <v>285</v>
      </c>
      <c r="C348" s="97">
        <f t="shared" si="75"/>
        <v>21160549</v>
      </c>
      <c r="D348" s="86">
        <f t="shared" si="76"/>
        <v>0</v>
      </c>
      <c r="E348" s="97"/>
      <c r="F348" s="97"/>
      <c r="G348" s="97"/>
      <c r="H348" s="97"/>
      <c r="I348" s="97"/>
      <c r="J348" s="96">
        <v>7</v>
      </c>
      <c r="K348" s="86">
        <v>19600000</v>
      </c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86">
        <v>1560549</v>
      </c>
      <c r="X348" s="97"/>
      <c r="Y348" s="14"/>
      <c r="Z348" s="12"/>
      <c r="AB348" s="12"/>
      <c r="AC348" s="12"/>
    </row>
    <row r="349" spans="1:29" ht="12.75" customHeight="1">
      <c r="A349" s="10">
        <f t="shared" si="77"/>
        <v>265</v>
      </c>
      <c r="B349" s="13" t="s">
        <v>286</v>
      </c>
      <c r="C349" s="97">
        <f t="shared" si="75"/>
        <v>18137613</v>
      </c>
      <c r="D349" s="86">
        <f t="shared" si="76"/>
        <v>0</v>
      </c>
      <c r="E349" s="97"/>
      <c r="F349" s="97"/>
      <c r="G349" s="97"/>
      <c r="H349" s="97"/>
      <c r="I349" s="97"/>
      <c r="J349" s="96">
        <v>6</v>
      </c>
      <c r="K349" s="86">
        <v>16800000</v>
      </c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86">
        <v>1337613</v>
      </c>
      <c r="X349" s="97"/>
      <c r="Y349" s="14"/>
      <c r="Z349" s="12"/>
      <c r="AB349" s="12"/>
      <c r="AC349" s="12"/>
    </row>
    <row r="350" spans="1:29" ht="12.75" customHeight="1">
      <c r="A350" s="10">
        <f t="shared" si="77"/>
        <v>266</v>
      </c>
      <c r="B350" s="13" t="s">
        <v>289</v>
      </c>
      <c r="C350" s="97">
        <f t="shared" si="75"/>
        <v>115318</v>
      </c>
      <c r="D350" s="86">
        <f t="shared" si="76"/>
        <v>0</v>
      </c>
      <c r="E350" s="97"/>
      <c r="F350" s="97"/>
      <c r="G350" s="97"/>
      <c r="H350" s="97"/>
      <c r="I350" s="97"/>
      <c r="J350" s="96"/>
      <c r="K350" s="86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86">
        <v>115318</v>
      </c>
      <c r="X350" s="97"/>
      <c r="Y350" s="14"/>
      <c r="Z350" s="12"/>
      <c r="AB350" s="12"/>
      <c r="AC350" s="12"/>
    </row>
    <row r="351" spans="1:29" ht="12.75" customHeight="1">
      <c r="A351" s="10">
        <f t="shared" si="77"/>
        <v>267</v>
      </c>
      <c r="B351" s="13" t="s">
        <v>281</v>
      </c>
      <c r="C351" s="97">
        <f t="shared" si="75"/>
        <v>78270</v>
      </c>
      <c r="D351" s="86">
        <f t="shared" si="76"/>
        <v>0</v>
      </c>
      <c r="E351" s="97"/>
      <c r="F351" s="97"/>
      <c r="G351" s="97"/>
      <c r="H351" s="97"/>
      <c r="I351" s="97"/>
      <c r="J351" s="97"/>
      <c r="K351" s="86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86">
        <v>78270</v>
      </c>
      <c r="X351" s="97"/>
      <c r="Y351" s="14"/>
      <c r="Z351" s="12"/>
      <c r="AB351" s="12"/>
      <c r="AC351" s="12"/>
    </row>
    <row r="352" spans="1:29" ht="12.75" customHeight="1">
      <c r="A352" s="10">
        <f t="shared" si="77"/>
        <v>268</v>
      </c>
      <c r="B352" s="13" t="s">
        <v>287</v>
      </c>
      <c r="C352" s="97">
        <f t="shared" si="75"/>
        <v>114432</v>
      </c>
      <c r="D352" s="86">
        <f t="shared" si="76"/>
        <v>0</v>
      </c>
      <c r="E352" s="97"/>
      <c r="F352" s="97"/>
      <c r="G352" s="97"/>
      <c r="H352" s="97"/>
      <c r="I352" s="97"/>
      <c r="J352" s="97"/>
      <c r="K352" s="86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86">
        <v>114432</v>
      </c>
      <c r="X352" s="97"/>
      <c r="Y352" s="14"/>
      <c r="Z352" s="12"/>
      <c r="AB352" s="12"/>
      <c r="AC352" s="12"/>
    </row>
    <row r="353" spans="1:29" ht="12.75" customHeight="1">
      <c r="A353" s="10">
        <f t="shared" si="77"/>
        <v>269</v>
      </c>
      <c r="B353" s="13" t="s">
        <v>284</v>
      </c>
      <c r="C353" s="97">
        <f t="shared" si="75"/>
        <v>203470</v>
      </c>
      <c r="D353" s="86">
        <f t="shared" si="76"/>
        <v>0</v>
      </c>
      <c r="E353" s="97"/>
      <c r="F353" s="97"/>
      <c r="G353" s="97"/>
      <c r="H353" s="97"/>
      <c r="I353" s="97"/>
      <c r="J353" s="97"/>
      <c r="K353" s="86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86">
        <v>203470</v>
      </c>
      <c r="X353" s="97"/>
      <c r="Y353" s="14"/>
      <c r="Z353" s="12"/>
      <c r="AB353" s="12"/>
      <c r="AC353" s="12"/>
    </row>
    <row r="354" spans="1:29" ht="12.75" customHeight="1">
      <c r="A354" s="10">
        <f t="shared" si="77"/>
        <v>270</v>
      </c>
      <c r="B354" s="13" t="s">
        <v>282</v>
      </c>
      <c r="C354" s="97">
        <f t="shared" si="75"/>
        <v>253764</v>
      </c>
      <c r="D354" s="86">
        <f t="shared" si="76"/>
        <v>0</v>
      </c>
      <c r="E354" s="97"/>
      <c r="F354" s="97"/>
      <c r="G354" s="97"/>
      <c r="H354" s="97"/>
      <c r="I354" s="97"/>
      <c r="J354" s="97"/>
      <c r="K354" s="86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86">
        <v>253764</v>
      </c>
      <c r="X354" s="97"/>
      <c r="Y354" s="14"/>
      <c r="Z354" s="12"/>
      <c r="AB354" s="12"/>
      <c r="AC354" s="12"/>
    </row>
    <row r="355" spans="1:29" ht="12.75" customHeight="1">
      <c r="A355" s="10">
        <f t="shared" si="77"/>
        <v>271</v>
      </c>
      <c r="B355" s="13" t="s">
        <v>283</v>
      </c>
      <c r="C355" s="97">
        <f t="shared" si="75"/>
        <v>137066</v>
      </c>
      <c r="D355" s="86">
        <f t="shared" si="76"/>
        <v>0</v>
      </c>
      <c r="E355" s="97"/>
      <c r="F355" s="97"/>
      <c r="G355" s="97"/>
      <c r="H355" s="97"/>
      <c r="I355" s="97"/>
      <c r="J355" s="97"/>
      <c r="K355" s="86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86">
        <v>137066</v>
      </c>
      <c r="X355" s="97"/>
      <c r="Y355" s="14"/>
      <c r="Z355" s="12"/>
      <c r="AB355" s="12"/>
      <c r="AC355" s="12"/>
    </row>
    <row r="356" spans="1:29" ht="12.75" customHeight="1">
      <c r="A356" s="10">
        <f t="shared" si="77"/>
        <v>272</v>
      </c>
      <c r="B356" s="13" t="s">
        <v>288</v>
      </c>
      <c r="C356" s="97">
        <f t="shared" si="75"/>
        <v>6045577</v>
      </c>
      <c r="D356" s="86">
        <f t="shared" si="76"/>
        <v>0</v>
      </c>
      <c r="E356" s="97"/>
      <c r="F356" s="97"/>
      <c r="G356" s="97"/>
      <c r="H356" s="97"/>
      <c r="I356" s="97"/>
      <c r="J356" s="96">
        <v>2</v>
      </c>
      <c r="K356" s="86">
        <v>5600000</v>
      </c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86">
        <v>445577</v>
      </c>
      <c r="X356" s="97"/>
      <c r="Y356" s="14"/>
      <c r="Z356" s="12"/>
      <c r="AB356" s="12"/>
      <c r="AC356" s="12"/>
    </row>
    <row r="357" spans="1:29" ht="12.75" customHeight="1">
      <c r="A357" s="130" t="s">
        <v>597</v>
      </c>
      <c r="B357" s="130"/>
      <c r="C357" s="97">
        <f>SUM(C345:C356)</f>
        <v>67406609</v>
      </c>
      <c r="D357" s="97">
        <f aca="true" t="shared" si="78" ref="D357:X357">SUM(D345:D356)</f>
        <v>0</v>
      </c>
      <c r="E357" s="97">
        <f t="shared" si="78"/>
        <v>0</v>
      </c>
      <c r="F357" s="97">
        <f t="shared" si="78"/>
        <v>0</v>
      </c>
      <c r="G357" s="97">
        <f t="shared" si="78"/>
        <v>0</v>
      </c>
      <c r="H357" s="97">
        <f t="shared" si="78"/>
        <v>0</v>
      </c>
      <c r="I357" s="97">
        <f t="shared" si="78"/>
        <v>0</v>
      </c>
      <c r="J357" s="96">
        <f t="shared" si="78"/>
        <v>22</v>
      </c>
      <c r="K357" s="97">
        <f t="shared" si="78"/>
        <v>61600000</v>
      </c>
      <c r="L357" s="97">
        <f t="shared" si="78"/>
        <v>0</v>
      </c>
      <c r="M357" s="97">
        <f t="shared" si="78"/>
        <v>0</v>
      </c>
      <c r="N357" s="97">
        <f t="shared" si="78"/>
        <v>0</v>
      </c>
      <c r="O357" s="97">
        <f t="shared" si="78"/>
        <v>0</v>
      </c>
      <c r="P357" s="97">
        <f t="shared" si="78"/>
        <v>0</v>
      </c>
      <c r="Q357" s="97">
        <f t="shared" si="78"/>
        <v>0</v>
      </c>
      <c r="R357" s="97">
        <f t="shared" si="78"/>
        <v>0</v>
      </c>
      <c r="S357" s="97">
        <f t="shared" si="78"/>
        <v>0</v>
      </c>
      <c r="T357" s="97">
        <f t="shared" si="78"/>
        <v>0</v>
      </c>
      <c r="U357" s="97">
        <f t="shared" si="78"/>
        <v>0</v>
      </c>
      <c r="V357" s="97">
        <f t="shared" si="78"/>
        <v>0</v>
      </c>
      <c r="W357" s="97">
        <f t="shared" si="78"/>
        <v>5806609</v>
      </c>
      <c r="X357" s="97">
        <f t="shared" si="78"/>
        <v>0</v>
      </c>
      <c r="Y357" s="14"/>
      <c r="Z357" s="12"/>
      <c r="AA357" s="12"/>
      <c r="AB357" s="12"/>
      <c r="AC357" s="12"/>
    </row>
    <row r="358" spans="1:29" ht="12.75" customHeight="1">
      <c r="A358" s="123" t="s">
        <v>683</v>
      </c>
      <c r="B358" s="123"/>
      <c r="C358" s="123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T358" s="127"/>
      <c r="U358" s="127"/>
      <c r="V358" s="127"/>
      <c r="W358" s="127"/>
      <c r="X358" s="127"/>
      <c r="Y358" s="14"/>
      <c r="Z358" s="12"/>
      <c r="AB358" s="12"/>
      <c r="AC358" s="12"/>
    </row>
    <row r="359" spans="1:29" ht="12.75" customHeight="1">
      <c r="A359" s="10">
        <f>A356+1</f>
        <v>273</v>
      </c>
      <c r="B359" s="13" t="s">
        <v>3</v>
      </c>
      <c r="C359" s="97">
        <f>D359+K359+M359+O359+Q359+S359+U359+V359+W359+X359</f>
        <v>201841</v>
      </c>
      <c r="D359" s="86">
        <f>E359+F359+G359+H359+I359</f>
        <v>0</v>
      </c>
      <c r="E359" s="97"/>
      <c r="F359" s="97"/>
      <c r="G359" s="97"/>
      <c r="H359" s="97"/>
      <c r="I359" s="97"/>
      <c r="J359" s="96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>
        <f>112912+88929</f>
        <v>201841</v>
      </c>
      <c r="X359" s="97"/>
      <c r="Y359" s="14"/>
      <c r="Z359" s="12"/>
      <c r="AB359" s="12"/>
      <c r="AC359" s="12"/>
    </row>
    <row r="360" spans="1:29" ht="12.75" customHeight="1">
      <c r="A360" s="10">
        <f>A359+1</f>
        <v>274</v>
      </c>
      <c r="B360" s="13" t="s">
        <v>4</v>
      </c>
      <c r="C360" s="97">
        <f>D360+K360+M360+O360+Q360+S360+U360+V360+W360+X360</f>
        <v>263367</v>
      </c>
      <c r="D360" s="86">
        <f>E360+F360+G360+H360+I360</f>
        <v>0</v>
      </c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>
        <f>160035+103332</f>
        <v>263367</v>
      </c>
      <c r="X360" s="97"/>
      <c r="Y360" s="14"/>
      <c r="Z360" s="12"/>
      <c r="AB360" s="12"/>
      <c r="AC360" s="12"/>
    </row>
    <row r="361" spans="1:29" ht="12.75" customHeight="1">
      <c r="A361" s="10">
        <f>A360+1</f>
        <v>275</v>
      </c>
      <c r="B361" s="13" t="s">
        <v>5</v>
      </c>
      <c r="C361" s="97">
        <f>D361+K361+M361+O361+Q361+S361+U361+V361+W361+X361</f>
        <v>263367</v>
      </c>
      <c r="D361" s="86">
        <f>E361+F361+G361+H361+I361</f>
        <v>0</v>
      </c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>
        <f>160035+103332</f>
        <v>263367</v>
      </c>
      <c r="X361" s="97"/>
      <c r="Y361" s="14"/>
      <c r="Z361" s="12"/>
      <c r="AB361" s="12"/>
      <c r="AC361" s="12"/>
    </row>
    <row r="362" spans="1:29" ht="17.25" customHeight="1">
      <c r="A362" s="130" t="s">
        <v>597</v>
      </c>
      <c r="B362" s="130"/>
      <c r="C362" s="97">
        <f>SUM(C359:C361)</f>
        <v>728575</v>
      </c>
      <c r="D362" s="97">
        <f aca="true" t="shared" si="79" ref="D362:X362">SUM(D359:D361)</f>
        <v>0</v>
      </c>
      <c r="E362" s="97">
        <f t="shared" si="79"/>
        <v>0</v>
      </c>
      <c r="F362" s="97">
        <f t="shared" si="79"/>
        <v>0</v>
      </c>
      <c r="G362" s="97">
        <f t="shared" si="79"/>
        <v>0</v>
      </c>
      <c r="H362" s="97">
        <f t="shared" si="79"/>
        <v>0</v>
      </c>
      <c r="I362" s="97">
        <f t="shared" si="79"/>
        <v>0</v>
      </c>
      <c r="J362" s="97">
        <f t="shared" si="79"/>
        <v>0</v>
      </c>
      <c r="K362" s="97">
        <f t="shared" si="79"/>
        <v>0</v>
      </c>
      <c r="L362" s="97">
        <f t="shared" si="79"/>
        <v>0</v>
      </c>
      <c r="M362" s="97">
        <f t="shared" si="79"/>
        <v>0</v>
      </c>
      <c r="N362" s="97">
        <f t="shared" si="79"/>
        <v>0</v>
      </c>
      <c r="O362" s="97">
        <f t="shared" si="79"/>
        <v>0</v>
      </c>
      <c r="P362" s="97">
        <f t="shared" si="79"/>
        <v>0</v>
      </c>
      <c r="Q362" s="97">
        <f t="shared" si="79"/>
        <v>0</v>
      </c>
      <c r="R362" s="97">
        <f t="shared" si="79"/>
        <v>0</v>
      </c>
      <c r="S362" s="97">
        <f t="shared" si="79"/>
        <v>0</v>
      </c>
      <c r="T362" s="97">
        <f t="shared" si="79"/>
        <v>0</v>
      </c>
      <c r="U362" s="97">
        <f t="shared" si="79"/>
        <v>0</v>
      </c>
      <c r="V362" s="97">
        <f t="shared" si="79"/>
        <v>0</v>
      </c>
      <c r="W362" s="97">
        <f t="shared" si="79"/>
        <v>728575</v>
      </c>
      <c r="X362" s="97">
        <f t="shared" si="79"/>
        <v>0</v>
      </c>
      <c r="Y362" s="14"/>
      <c r="Z362" s="12"/>
      <c r="AA362" s="12"/>
      <c r="AB362" s="12"/>
      <c r="AC362" s="12"/>
    </row>
    <row r="363" spans="1:29" ht="12.75" customHeight="1">
      <c r="A363" s="105" t="s">
        <v>626</v>
      </c>
      <c r="B363" s="106"/>
      <c r="C363" s="83">
        <f>C357+C362</f>
        <v>68135184</v>
      </c>
      <c r="D363" s="83">
        <f aca="true" t="shared" si="80" ref="D363:X363">D357+D362</f>
        <v>0</v>
      </c>
      <c r="E363" s="83">
        <f t="shared" si="80"/>
        <v>0</v>
      </c>
      <c r="F363" s="83">
        <f t="shared" si="80"/>
        <v>0</v>
      </c>
      <c r="G363" s="83">
        <f t="shared" si="80"/>
        <v>0</v>
      </c>
      <c r="H363" s="83">
        <f t="shared" si="80"/>
        <v>0</v>
      </c>
      <c r="I363" s="83">
        <f t="shared" si="80"/>
        <v>0</v>
      </c>
      <c r="J363" s="18">
        <f t="shared" si="80"/>
        <v>22</v>
      </c>
      <c r="K363" s="83">
        <f t="shared" si="80"/>
        <v>61600000</v>
      </c>
      <c r="L363" s="83">
        <f t="shared" si="80"/>
        <v>0</v>
      </c>
      <c r="M363" s="83">
        <f t="shared" si="80"/>
        <v>0</v>
      </c>
      <c r="N363" s="83">
        <f t="shared" si="80"/>
        <v>0</v>
      </c>
      <c r="O363" s="83">
        <f t="shared" si="80"/>
        <v>0</v>
      </c>
      <c r="P363" s="83">
        <f t="shared" si="80"/>
        <v>0</v>
      </c>
      <c r="Q363" s="83">
        <f t="shared" si="80"/>
        <v>0</v>
      </c>
      <c r="R363" s="83">
        <f t="shared" si="80"/>
        <v>0</v>
      </c>
      <c r="S363" s="83">
        <f t="shared" si="80"/>
        <v>0</v>
      </c>
      <c r="T363" s="83">
        <f t="shared" si="80"/>
        <v>0</v>
      </c>
      <c r="U363" s="83">
        <f t="shared" si="80"/>
        <v>0</v>
      </c>
      <c r="V363" s="83">
        <f t="shared" si="80"/>
        <v>0</v>
      </c>
      <c r="W363" s="83">
        <f t="shared" si="80"/>
        <v>6535184</v>
      </c>
      <c r="X363" s="83">
        <f t="shared" si="80"/>
        <v>0</v>
      </c>
      <c r="Y363" s="14"/>
      <c r="Z363" s="12"/>
      <c r="AA363" s="12"/>
      <c r="AB363" s="12"/>
      <c r="AC363" s="12"/>
    </row>
    <row r="364" spans="1:29" ht="12.75" customHeight="1">
      <c r="A364" s="111" t="s">
        <v>627</v>
      </c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  <c r="V364" s="112"/>
      <c r="W364" s="112"/>
      <c r="X364" s="113"/>
      <c r="Y364" s="14"/>
      <c r="Z364" s="12"/>
      <c r="AB364" s="12"/>
      <c r="AC364" s="12"/>
    </row>
    <row r="365" spans="1:29" ht="12.75" customHeight="1">
      <c r="A365" s="105" t="s">
        <v>628</v>
      </c>
      <c r="B365" s="110"/>
      <c r="C365" s="106"/>
      <c r="D365" s="107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  <c r="V365" s="108"/>
      <c r="W365" s="108"/>
      <c r="X365" s="109"/>
      <c r="Y365" s="14"/>
      <c r="Z365" s="12"/>
      <c r="AB365" s="12"/>
      <c r="AC365" s="12"/>
    </row>
    <row r="366" spans="1:29" ht="12.75" customHeight="1">
      <c r="A366" s="96">
        <f>A361+1</f>
        <v>276</v>
      </c>
      <c r="B366" s="13" t="s">
        <v>290</v>
      </c>
      <c r="C366" s="97">
        <f aca="true" t="shared" si="81" ref="C366:C390">D366+K366+M366+O366+Q366+S366+U366+V366+W366+X366</f>
        <v>3571546</v>
      </c>
      <c r="D366" s="86">
        <f aca="true" t="shared" si="82" ref="D366:D390">E366+F366+G366+H366+I366</f>
        <v>0</v>
      </c>
      <c r="E366" s="97"/>
      <c r="F366" s="97"/>
      <c r="G366" s="97"/>
      <c r="H366" s="97"/>
      <c r="I366" s="97"/>
      <c r="J366" s="96">
        <v>1</v>
      </c>
      <c r="K366" s="97">
        <f>3348610</f>
        <v>3348610</v>
      </c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>
        <v>222936</v>
      </c>
      <c r="X366" s="97"/>
      <c r="Y366" s="14"/>
      <c r="Z366" s="12"/>
      <c r="AB366" s="12"/>
      <c r="AC366" s="12"/>
    </row>
    <row r="367" spans="1:29" ht="12.75" customHeight="1">
      <c r="A367" s="96">
        <f>A366+1</f>
        <v>277</v>
      </c>
      <c r="B367" s="13" t="s">
        <v>291</v>
      </c>
      <c r="C367" s="97">
        <f t="shared" si="81"/>
        <v>17857724</v>
      </c>
      <c r="D367" s="86">
        <f t="shared" si="82"/>
        <v>0</v>
      </c>
      <c r="E367" s="97"/>
      <c r="F367" s="97"/>
      <c r="G367" s="97"/>
      <c r="H367" s="97"/>
      <c r="I367" s="97"/>
      <c r="J367" s="96">
        <v>5</v>
      </c>
      <c r="K367" s="97">
        <v>16743046</v>
      </c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>
        <v>1114678</v>
      </c>
      <c r="X367" s="97"/>
      <c r="Y367" s="14"/>
      <c r="Z367" s="12"/>
      <c r="AB367" s="12"/>
      <c r="AC367" s="12"/>
    </row>
    <row r="368" spans="1:29" ht="12.75" customHeight="1">
      <c r="A368" s="96">
        <f aca="true" t="shared" si="83" ref="A368:A390">A367+1</f>
        <v>278</v>
      </c>
      <c r="B368" s="13" t="s">
        <v>305</v>
      </c>
      <c r="C368" s="97">
        <f t="shared" si="81"/>
        <v>3571546</v>
      </c>
      <c r="D368" s="86">
        <f t="shared" si="82"/>
        <v>0</v>
      </c>
      <c r="E368" s="97"/>
      <c r="F368" s="97"/>
      <c r="G368" s="97"/>
      <c r="H368" s="97"/>
      <c r="I368" s="97"/>
      <c r="J368" s="96">
        <v>1</v>
      </c>
      <c r="K368" s="97">
        <f>3348610</f>
        <v>3348610</v>
      </c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>
        <v>222936</v>
      </c>
      <c r="X368" s="97"/>
      <c r="Y368" s="14"/>
      <c r="Z368" s="12"/>
      <c r="AB368" s="12"/>
      <c r="AC368" s="12"/>
    </row>
    <row r="369" spans="1:29" ht="12.75" customHeight="1">
      <c r="A369" s="96">
        <f t="shared" si="83"/>
        <v>279</v>
      </c>
      <c r="B369" s="13" t="s">
        <v>313</v>
      </c>
      <c r="C369" s="97">
        <f t="shared" si="81"/>
        <v>863398</v>
      </c>
      <c r="D369" s="86">
        <f t="shared" si="82"/>
        <v>0</v>
      </c>
      <c r="E369" s="97"/>
      <c r="F369" s="97"/>
      <c r="G369" s="97"/>
      <c r="H369" s="97"/>
      <c r="I369" s="97"/>
      <c r="J369" s="96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>
        <f>491754+371644</f>
        <v>863398</v>
      </c>
      <c r="X369" s="97"/>
      <c r="Y369" s="14"/>
      <c r="Z369" s="12"/>
      <c r="AB369" s="12"/>
      <c r="AC369" s="12"/>
    </row>
    <row r="370" spans="1:29" ht="12.75" customHeight="1">
      <c r="A370" s="96">
        <f t="shared" si="83"/>
        <v>280</v>
      </c>
      <c r="B370" s="13" t="s">
        <v>306</v>
      </c>
      <c r="C370" s="97">
        <f t="shared" si="81"/>
        <v>426053</v>
      </c>
      <c r="D370" s="86">
        <f t="shared" si="82"/>
        <v>0</v>
      </c>
      <c r="E370" s="97"/>
      <c r="F370" s="97"/>
      <c r="G370" s="97"/>
      <c r="H370" s="97"/>
      <c r="I370" s="97"/>
      <c r="J370" s="96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>
        <v>426053</v>
      </c>
      <c r="X370" s="97"/>
      <c r="Y370" s="14"/>
      <c r="Z370" s="12"/>
      <c r="AB370" s="12"/>
      <c r="AC370" s="12"/>
    </row>
    <row r="371" spans="1:29" ht="12.75" customHeight="1">
      <c r="A371" s="96">
        <f t="shared" si="83"/>
        <v>281</v>
      </c>
      <c r="B371" s="13" t="s">
        <v>788</v>
      </c>
      <c r="C371" s="97">
        <f t="shared" si="81"/>
        <v>423349</v>
      </c>
      <c r="D371" s="86">
        <f t="shared" si="82"/>
        <v>0</v>
      </c>
      <c r="E371" s="97"/>
      <c r="F371" s="97"/>
      <c r="G371" s="97"/>
      <c r="H371" s="97"/>
      <c r="I371" s="97"/>
      <c r="J371" s="96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>
        <v>423349</v>
      </c>
      <c r="X371" s="97"/>
      <c r="Y371" s="14"/>
      <c r="Z371" s="12"/>
      <c r="AB371" s="12"/>
      <c r="AC371" s="12"/>
    </row>
    <row r="372" spans="1:29" ht="12.75" customHeight="1">
      <c r="A372" s="96">
        <f t="shared" si="83"/>
        <v>282</v>
      </c>
      <c r="B372" s="13" t="s">
        <v>292</v>
      </c>
      <c r="C372" s="97">
        <f t="shared" si="81"/>
        <v>151182</v>
      </c>
      <c r="D372" s="86">
        <f t="shared" si="82"/>
        <v>0</v>
      </c>
      <c r="E372" s="97"/>
      <c r="F372" s="97"/>
      <c r="G372" s="97"/>
      <c r="H372" s="97"/>
      <c r="I372" s="97"/>
      <c r="J372" s="96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>
        <v>151182</v>
      </c>
      <c r="X372" s="97"/>
      <c r="Y372" s="14"/>
      <c r="Z372" s="12"/>
      <c r="AB372" s="12"/>
      <c r="AC372" s="12"/>
    </row>
    <row r="373" spans="1:29" ht="12.75" customHeight="1">
      <c r="A373" s="96">
        <f t="shared" si="83"/>
        <v>283</v>
      </c>
      <c r="B373" s="13" t="s">
        <v>293</v>
      </c>
      <c r="C373" s="97">
        <f t="shared" si="81"/>
        <v>202624</v>
      </c>
      <c r="D373" s="86">
        <f t="shared" si="82"/>
        <v>0</v>
      </c>
      <c r="E373" s="97"/>
      <c r="F373" s="97"/>
      <c r="G373" s="97"/>
      <c r="H373" s="97"/>
      <c r="I373" s="97"/>
      <c r="J373" s="96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>
        <v>202624</v>
      </c>
      <c r="X373" s="97"/>
      <c r="Y373" s="14"/>
      <c r="Z373" s="12"/>
      <c r="AB373" s="12"/>
      <c r="AC373" s="12"/>
    </row>
    <row r="374" spans="1:29" ht="12.75" customHeight="1">
      <c r="A374" s="96">
        <f t="shared" si="83"/>
        <v>284</v>
      </c>
      <c r="B374" s="13" t="s">
        <v>294</v>
      </c>
      <c r="C374" s="97">
        <f t="shared" si="81"/>
        <v>368532</v>
      </c>
      <c r="D374" s="86">
        <f t="shared" si="82"/>
        <v>0</v>
      </c>
      <c r="E374" s="97"/>
      <c r="F374" s="97"/>
      <c r="G374" s="97"/>
      <c r="H374" s="97"/>
      <c r="I374" s="97"/>
      <c r="J374" s="96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>
        <f>232878+135654</f>
        <v>368532</v>
      </c>
      <c r="X374" s="97"/>
      <c r="Y374" s="14"/>
      <c r="Z374" s="12"/>
      <c r="AB374" s="12"/>
      <c r="AC374" s="12"/>
    </row>
    <row r="375" spans="1:29" ht="12.75" customHeight="1">
      <c r="A375" s="96">
        <f t="shared" si="83"/>
        <v>285</v>
      </c>
      <c r="B375" s="13" t="s">
        <v>295</v>
      </c>
      <c r="C375" s="97">
        <f t="shared" si="81"/>
        <v>453635</v>
      </c>
      <c r="D375" s="86">
        <f t="shared" si="82"/>
        <v>0</v>
      </c>
      <c r="E375" s="97"/>
      <c r="F375" s="97"/>
      <c r="G375" s="97"/>
      <c r="H375" s="97"/>
      <c r="I375" s="97"/>
      <c r="J375" s="96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>
        <f>271642+181993</f>
        <v>453635</v>
      </c>
      <c r="X375" s="97"/>
      <c r="Y375" s="14"/>
      <c r="Z375" s="12"/>
      <c r="AB375" s="12"/>
      <c r="AC375" s="12"/>
    </row>
    <row r="376" spans="1:29" ht="12.75" customHeight="1">
      <c r="A376" s="96">
        <f t="shared" si="83"/>
        <v>286</v>
      </c>
      <c r="B376" s="13" t="s">
        <v>296</v>
      </c>
      <c r="C376" s="97">
        <f t="shared" si="81"/>
        <v>173089</v>
      </c>
      <c r="D376" s="86">
        <f t="shared" si="82"/>
        <v>0</v>
      </c>
      <c r="E376" s="97"/>
      <c r="F376" s="97"/>
      <c r="G376" s="97"/>
      <c r="H376" s="97"/>
      <c r="I376" s="97"/>
      <c r="J376" s="96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>
        <v>173089</v>
      </c>
      <c r="X376" s="97"/>
      <c r="Y376" s="14"/>
      <c r="Z376" s="12"/>
      <c r="AB376" s="12"/>
      <c r="AC376" s="12"/>
    </row>
    <row r="377" spans="1:29" ht="12.75" customHeight="1">
      <c r="A377" s="96">
        <f t="shared" si="83"/>
        <v>287</v>
      </c>
      <c r="B377" s="13" t="s">
        <v>297</v>
      </c>
      <c r="C377" s="97">
        <f t="shared" si="81"/>
        <v>187511</v>
      </c>
      <c r="D377" s="86">
        <f t="shared" si="82"/>
        <v>0</v>
      </c>
      <c r="E377" s="97"/>
      <c r="F377" s="97"/>
      <c r="G377" s="97"/>
      <c r="H377" s="97"/>
      <c r="I377" s="97"/>
      <c r="J377" s="96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>
        <v>187511</v>
      </c>
      <c r="X377" s="97"/>
      <c r="Y377" s="14"/>
      <c r="Z377" s="12"/>
      <c r="AB377" s="12"/>
      <c r="AC377" s="12"/>
    </row>
    <row r="378" spans="1:29" ht="12.75" customHeight="1">
      <c r="A378" s="96">
        <f t="shared" si="83"/>
        <v>288</v>
      </c>
      <c r="B378" s="13" t="s">
        <v>298</v>
      </c>
      <c r="C378" s="97">
        <f t="shared" si="81"/>
        <v>188044</v>
      </c>
      <c r="D378" s="86">
        <f t="shared" si="82"/>
        <v>0</v>
      </c>
      <c r="E378" s="97"/>
      <c r="F378" s="97"/>
      <c r="G378" s="97"/>
      <c r="H378" s="97"/>
      <c r="I378" s="97"/>
      <c r="J378" s="96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>
        <v>188044</v>
      </c>
      <c r="X378" s="97"/>
      <c r="Y378" s="14"/>
      <c r="Z378" s="12"/>
      <c r="AB378" s="12"/>
      <c r="AC378" s="12"/>
    </row>
    <row r="379" spans="1:29" ht="12.75" customHeight="1">
      <c r="A379" s="96">
        <f t="shared" si="83"/>
        <v>289</v>
      </c>
      <c r="B379" s="13" t="s">
        <v>299</v>
      </c>
      <c r="C379" s="97">
        <f t="shared" si="81"/>
        <v>365543</v>
      </c>
      <c r="D379" s="86">
        <f t="shared" si="82"/>
        <v>0</v>
      </c>
      <c r="E379" s="97"/>
      <c r="F379" s="97"/>
      <c r="G379" s="97"/>
      <c r="H379" s="97"/>
      <c r="I379" s="97"/>
      <c r="J379" s="96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>
        <f>233010+132533</f>
        <v>365543</v>
      </c>
      <c r="X379" s="97"/>
      <c r="Y379" s="14"/>
      <c r="Z379" s="12"/>
      <c r="AB379" s="12"/>
      <c r="AC379" s="12"/>
    </row>
    <row r="380" spans="1:29" ht="12.75" customHeight="1">
      <c r="A380" s="96">
        <f t="shared" si="83"/>
        <v>290</v>
      </c>
      <c r="B380" s="13" t="s">
        <v>301</v>
      </c>
      <c r="C380" s="97">
        <f t="shared" si="81"/>
        <v>264959</v>
      </c>
      <c r="D380" s="86">
        <f t="shared" si="82"/>
        <v>0</v>
      </c>
      <c r="E380" s="97"/>
      <c r="F380" s="97"/>
      <c r="G380" s="97"/>
      <c r="H380" s="97"/>
      <c r="I380" s="97"/>
      <c r="J380" s="96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>
        <f>264959</f>
        <v>264959</v>
      </c>
      <c r="X380" s="97"/>
      <c r="Y380" s="14"/>
      <c r="Z380" s="12"/>
      <c r="AB380" s="12"/>
      <c r="AC380" s="12"/>
    </row>
    <row r="381" spans="1:29" ht="12.75" customHeight="1">
      <c r="A381" s="96">
        <f t="shared" si="83"/>
        <v>291</v>
      </c>
      <c r="B381" s="13" t="s">
        <v>300</v>
      </c>
      <c r="C381" s="97">
        <f t="shared" si="81"/>
        <v>1192274</v>
      </c>
      <c r="D381" s="86">
        <f t="shared" si="82"/>
        <v>0</v>
      </c>
      <c r="E381" s="97"/>
      <c r="F381" s="97"/>
      <c r="G381" s="97"/>
      <c r="H381" s="97"/>
      <c r="I381" s="97"/>
      <c r="J381" s="96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>
        <f>305601+172541+193369+251670+269093</f>
        <v>1192274</v>
      </c>
      <c r="X381" s="97"/>
      <c r="Y381" s="14"/>
      <c r="Z381" s="12"/>
      <c r="AB381" s="12"/>
      <c r="AC381" s="12"/>
    </row>
    <row r="382" spans="1:29" ht="12.75" customHeight="1">
      <c r="A382" s="96">
        <f t="shared" si="83"/>
        <v>292</v>
      </c>
      <c r="B382" s="13" t="s">
        <v>302</v>
      </c>
      <c r="C382" s="97">
        <f t="shared" si="81"/>
        <v>179570</v>
      </c>
      <c r="D382" s="86">
        <f t="shared" si="82"/>
        <v>0</v>
      </c>
      <c r="E382" s="97"/>
      <c r="F382" s="97"/>
      <c r="G382" s="97"/>
      <c r="H382" s="97"/>
      <c r="I382" s="97"/>
      <c r="J382" s="96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>
        <v>179570</v>
      </c>
      <c r="X382" s="97"/>
      <c r="Y382" s="14"/>
      <c r="Z382" s="12"/>
      <c r="AB382" s="12"/>
      <c r="AC382" s="12"/>
    </row>
    <row r="383" spans="1:29" ht="12.75" customHeight="1">
      <c r="A383" s="96">
        <f t="shared" si="83"/>
        <v>293</v>
      </c>
      <c r="B383" s="13" t="s">
        <v>303</v>
      </c>
      <c r="C383" s="97">
        <f t="shared" si="81"/>
        <v>185916</v>
      </c>
      <c r="D383" s="86">
        <f t="shared" si="82"/>
        <v>0</v>
      </c>
      <c r="E383" s="97"/>
      <c r="F383" s="97"/>
      <c r="G383" s="97"/>
      <c r="H383" s="97"/>
      <c r="I383" s="97"/>
      <c r="J383" s="96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>
        <f>185916</f>
        <v>185916</v>
      </c>
      <c r="X383" s="97"/>
      <c r="Y383" s="14"/>
      <c r="Z383" s="12"/>
      <c r="AB383" s="12"/>
      <c r="AC383" s="12"/>
    </row>
    <row r="384" spans="1:29" ht="12.75" customHeight="1">
      <c r="A384" s="96">
        <f t="shared" si="83"/>
        <v>294</v>
      </c>
      <c r="B384" s="13" t="s">
        <v>304</v>
      </c>
      <c r="C384" s="97">
        <f t="shared" si="81"/>
        <v>455146</v>
      </c>
      <c r="D384" s="86">
        <f t="shared" si="82"/>
        <v>0</v>
      </c>
      <c r="E384" s="97"/>
      <c r="F384" s="97"/>
      <c r="G384" s="97"/>
      <c r="H384" s="97"/>
      <c r="I384" s="97"/>
      <c r="J384" s="96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>
        <f>183539+271607</f>
        <v>455146</v>
      </c>
      <c r="X384" s="97"/>
      <c r="Y384" s="14"/>
      <c r="Z384" s="12"/>
      <c r="AB384" s="12"/>
      <c r="AC384" s="12"/>
    </row>
    <row r="385" spans="1:29" ht="12.75" customHeight="1">
      <c r="A385" s="96">
        <f t="shared" si="83"/>
        <v>295</v>
      </c>
      <c r="B385" s="13" t="s">
        <v>307</v>
      </c>
      <c r="C385" s="97">
        <f t="shared" si="81"/>
        <v>330827</v>
      </c>
      <c r="D385" s="86">
        <f t="shared" si="82"/>
        <v>0</v>
      </c>
      <c r="E385" s="97"/>
      <c r="F385" s="97"/>
      <c r="G385" s="97"/>
      <c r="H385" s="97"/>
      <c r="I385" s="97"/>
      <c r="J385" s="96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>
        <v>330827</v>
      </c>
      <c r="X385" s="97"/>
      <c r="Y385" s="14"/>
      <c r="Z385" s="12"/>
      <c r="AB385" s="12"/>
      <c r="AC385" s="12"/>
    </row>
    <row r="386" spans="1:29" ht="12.75" customHeight="1">
      <c r="A386" s="96">
        <f t="shared" si="83"/>
        <v>296</v>
      </c>
      <c r="B386" s="13" t="s">
        <v>308</v>
      </c>
      <c r="C386" s="97">
        <f t="shared" si="81"/>
        <v>633715</v>
      </c>
      <c r="D386" s="86">
        <f t="shared" si="82"/>
        <v>0</v>
      </c>
      <c r="E386" s="97"/>
      <c r="F386" s="97"/>
      <c r="G386" s="97"/>
      <c r="H386" s="97"/>
      <c r="I386" s="97"/>
      <c r="J386" s="96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>
        <f>266736+366979</f>
        <v>633715</v>
      </c>
      <c r="X386" s="97"/>
      <c r="Y386" s="14"/>
      <c r="Z386" s="12"/>
      <c r="AB386" s="12"/>
      <c r="AC386" s="12"/>
    </row>
    <row r="387" spans="1:29" ht="12.75" customHeight="1">
      <c r="A387" s="96">
        <f t="shared" si="83"/>
        <v>297</v>
      </c>
      <c r="B387" s="13" t="s">
        <v>309</v>
      </c>
      <c r="C387" s="97">
        <f t="shared" si="81"/>
        <v>319702</v>
      </c>
      <c r="D387" s="86">
        <f t="shared" si="82"/>
        <v>0</v>
      </c>
      <c r="E387" s="97"/>
      <c r="F387" s="97"/>
      <c r="G387" s="97"/>
      <c r="H387" s="97"/>
      <c r="I387" s="97"/>
      <c r="J387" s="96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>
        <v>319702</v>
      </c>
      <c r="X387" s="97"/>
      <c r="Y387" s="14"/>
      <c r="Z387" s="12"/>
      <c r="AB387" s="12"/>
      <c r="AC387" s="12"/>
    </row>
    <row r="388" spans="1:29" ht="12.75" customHeight="1">
      <c r="A388" s="96">
        <f t="shared" si="83"/>
        <v>298</v>
      </c>
      <c r="B388" s="13" t="s">
        <v>310</v>
      </c>
      <c r="C388" s="97">
        <f t="shared" si="81"/>
        <v>272907</v>
      </c>
      <c r="D388" s="86">
        <f t="shared" si="82"/>
        <v>0</v>
      </c>
      <c r="E388" s="97"/>
      <c r="F388" s="97"/>
      <c r="G388" s="97"/>
      <c r="H388" s="97"/>
      <c r="I388" s="97"/>
      <c r="J388" s="96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>
        <v>272907</v>
      </c>
      <c r="X388" s="97"/>
      <c r="Y388" s="14"/>
      <c r="Z388" s="12"/>
      <c r="AB388" s="12"/>
      <c r="AC388" s="12"/>
    </row>
    <row r="389" spans="1:29" ht="12.75" customHeight="1">
      <c r="A389" s="96">
        <f t="shared" si="83"/>
        <v>299</v>
      </c>
      <c r="B389" s="13" t="s">
        <v>311</v>
      </c>
      <c r="C389" s="97">
        <f t="shared" si="81"/>
        <v>486428</v>
      </c>
      <c r="D389" s="86">
        <f t="shared" si="82"/>
        <v>0</v>
      </c>
      <c r="E389" s="97"/>
      <c r="F389" s="97"/>
      <c r="G389" s="97"/>
      <c r="H389" s="97"/>
      <c r="I389" s="97"/>
      <c r="J389" s="96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>
        <v>486428</v>
      </c>
      <c r="X389" s="97"/>
      <c r="Y389" s="14"/>
      <c r="Z389" s="12"/>
      <c r="AB389" s="12"/>
      <c r="AC389" s="12"/>
    </row>
    <row r="390" spans="1:29" ht="12.75" customHeight="1">
      <c r="A390" s="96">
        <f t="shared" si="83"/>
        <v>300</v>
      </c>
      <c r="B390" s="13" t="s">
        <v>312</v>
      </c>
      <c r="C390" s="97">
        <f t="shared" si="81"/>
        <v>14286179</v>
      </c>
      <c r="D390" s="86">
        <f t="shared" si="82"/>
        <v>0</v>
      </c>
      <c r="E390" s="97"/>
      <c r="F390" s="97"/>
      <c r="G390" s="97"/>
      <c r="H390" s="97"/>
      <c r="I390" s="97"/>
      <c r="J390" s="96">
        <v>4</v>
      </c>
      <c r="K390" s="97">
        <f>13394437</f>
        <v>13394437</v>
      </c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>
        <v>891742</v>
      </c>
      <c r="X390" s="97"/>
      <c r="Y390" s="14"/>
      <c r="Z390" s="12"/>
      <c r="AB390" s="12"/>
      <c r="AC390" s="12"/>
    </row>
    <row r="391" spans="1:29" ht="12.75" customHeight="1">
      <c r="A391" s="103" t="s">
        <v>597</v>
      </c>
      <c r="B391" s="104"/>
      <c r="C391" s="86">
        <f>SUM(C366:C390)</f>
        <v>47411399</v>
      </c>
      <c r="D391" s="86">
        <f aca="true" t="shared" si="84" ref="D391:X391">SUM(D366:D390)</f>
        <v>0</v>
      </c>
      <c r="E391" s="86">
        <f t="shared" si="84"/>
        <v>0</v>
      </c>
      <c r="F391" s="86">
        <f t="shared" si="84"/>
        <v>0</v>
      </c>
      <c r="G391" s="86">
        <f t="shared" si="84"/>
        <v>0</v>
      </c>
      <c r="H391" s="86">
        <f t="shared" si="84"/>
        <v>0</v>
      </c>
      <c r="I391" s="86">
        <f t="shared" si="84"/>
        <v>0</v>
      </c>
      <c r="J391" s="10">
        <f t="shared" si="84"/>
        <v>11</v>
      </c>
      <c r="K391" s="86">
        <f t="shared" si="84"/>
        <v>36834703</v>
      </c>
      <c r="L391" s="86">
        <f t="shared" si="84"/>
        <v>0</v>
      </c>
      <c r="M391" s="86">
        <f t="shared" si="84"/>
        <v>0</v>
      </c>
      <c r="N391" s="86">
        <f t="shared" si="84"/>
        <v>0</v>
      </c>
      <c r="O391" s="86">
        <f t="shared" si="84"/>
        <v>0</v>
      </c>
      <c r="P391" s="86">
        <f t="shared" si="84"/>
        <v>0</v>
      </c>
      <c r="Q391" s="86">
        <f t="shared" si="84"/>
        <v>0</v>
      </c>
      <c r="R391" s="86">
        <f t="shared" si="84"/>
        <v>0</v>
      </c>
      <c r="S391" s="86">
        <f t="shared" si="84"/>
        <v>0</v>
      </c>
      <c r="T391" s="86">
        <f t="shared" si="84"/>
        <v>0</v>
      </c>
      <c r="U391" s="86">
        <f t="shared" si="84"/>
        <v>0</v>
      </c>
      <c r="V391" s="86">
        <f t="shared" si="84"/>
        <v>0</v>
      </c>
      <c r="W391" s="86">
        <f t="shared" si="84"/>
        <v>10576696</v>
      </c>
      <c r="X391" s="86">
        <f t="shared" si="84"/>
        <v>0</v>
      </c>
      <c r="Y391" s="14"/>
      <c r="Z391" s="12"/>
      <c r="AA391" s="12"/>
      <c r="AB391" s="12"/>
      <c r="AC391" s="12"/>
    </row>
    <row r="392" spans="1:29" s="253" customFormat="1" ht="15" customHeight="1">
      <c r="A392" s="120" t="s">
        <v>748</v>
      </c>
      <c r="B392" s="121"/>
      <c r="C392" s="121"/>
      <c r="D392" s="121"/>
      <c r="E392" s="122"/>
      <c r="F392" s="160"/>
      <c r="G392" s="161"/>
      <c r="H392" s="161"/>
      <c r="I392" s="161"/>
      <c r="J392" s="161"/>
      <c r="K392" s="161"/>
      <c r="L392" s="161"/>
      <c r="M392" s="161"/>
      <c r="N392" s="161"/>
      <c r="O392" s="161"/>
      <c r="P392" s="161"/>
      <c r="Q392" s="161"/>
      <c r="R392" s="161"/>
      <c r="S392" s="161"/>
      <c r="T392" s="161"/>
      <c r="U392" s="161"/>
      <c r="V392" s="161"/>
      <c r="W392" s="162"/>
      <c r="X392" s="250"/>
      <c r="Y392" s="251"/>
      <c r="Z392" s="252"/>
      <c r="AA392" s="252"/>
      <c r="AB392" s="12"/>
      <c r="AC392" s="12"/>
    </row>
    <row r="393" spans="1:29" s="253" customFormat="1" ht="12.75">
      <c r="A393" s="96">
        <f>A390+1</f>
        <v>301</v>
      </c>
      <c r="B393" s="82" t="s">
        <v>749</v>
      </c>
      <c r="C393" s="97">
        <f>D393+K393+M393+O393+Q393+S393+U393+V393+W393+X393</f>
        <v>556132</v>
      </c>
      <c r="D393" s="86">
        <f>E393+F393+G393+H393+I393</f>
        <v>556132</v>
      </c>
      <c r="E393" s="249">
        <v>556132</v>
      </c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250"/>
      <c r="Y393" s="251"/>
      <c r="Z393" s="252"/>
      <c r="AA393" s="252"/>
      <c r="AB393" s="12"/>
      <c r="AC393" s="12"/>
    </row>
    <row r="394" spans="1:29" s="253" customFormat="1" ht="12.75">
      <c r="A394" s="96">
        <f>A393+1</f>
        <v>302</v>
      </c>
      <c r="B394" s="82" t="s">
        <v>750</v>
      </c>
      <c r="C394" s="97">
        <f>D394+K394+M394+O394+Q394+S394+U394+V394+W394+X394</f>
        <v>528316</v>
      </c>
      <c r="D394" s="86">
        <f>E394+F394+G394+H394+I394</f>
        <v>528316</v>
      </c>
      <c r="E394" s="249">
        <v>528316</v>
      </c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86"/>
      <c r="X394" s="250"/>
      <c r="Y394" s="251"/>
      <c r="Z394" s="252"/>
      <c r="AA394" s="252"/>
      <c r="AB394" s="12"/>
      <c r="AC394" s="12"/>
    </row>
    <row r="395" spans="1:29" s="253" customFormat="1" ht="12.75">
      <c r="A395" s="96">
        <f>A394+1</f>
        <v>303</v>
      </c>
      <c r="B395" s="82" t="s">
        <v>751</v>
      </c>
      <c r="C395" s="97">
        <f>D395+K395+M395+O395+Q395+S395+U395+V395+W395+X395</f>
        <v>582407</v>
      </c>
      <c r="D395" s="86">
        <f>E395+F395+G395+H395+I395</f>
        <v>582407</v>
      </c>
      <c r="E395" s="249">
        <v>582407</v>
      </c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86"/>
      <c r="X395" s="250"/>
      <c r="Y395" s="251"/>
      <c r="Z395" s="252"/>
      <c r="AA395" s="252"/>
      <c r="AB395" s="12"/>
      <c r="AC395" s="12"/>
    </row>
    <row r="396" spans="1:29" s="253" customFormat="1" ht="12.75">
      <c r="A396" s="138" t="s">
        <v>597</v>
      </c>
      <c r="B396" s="139"/>
      <c r="C396" s="86">
        <f>SUM(C393:C395)</f>
        <v>1666855</v>
      </c>
      <c r="D396" s="86">
        <f aca="true" t="shared" si="85" ref="D396:X396">SUM(D393:D395)</f>
        <v>1666855</v>
      </c>
      <c r="E396" s="86">
        <f t="shared" si="85"/>
        <v>1666855</v>
      </c>
      <c r="F396" s="86">
        <f t="shared" si="85"/>
        <v>0</v>
      </c>
      <c r="G396" s="86">
        <f t="shared" si="85"/>
        <v>0</v>
      </c>
      <c r="H396" s="86">
        <f t="shared" si="85"/>
        <v>0</v>
      </c>
      <c r="I396" s="86">
        <f t="shared" si="85"/>
        <v>0</v>
      </c>
      <c r="J396" s="86">
        <f t="shared" si="85"/>
        <v>0</v>
      </c>
      <c r="K396" s="86">
        <f t="shared" si="85"/>
        <v>0</v>
      </c>
      <c r="L396" s="86">
        <f t="shared" si="85"/>
        <v>0</v>
      </c>
      <c r="M396" s="86">
        <f t="shared" si="85"/>
        <v>0</v>
      </c>
      <c r="N396" s="86">
        <f t="shared" si="85"/>
        <v>0</v>
      </c>
      <c r="O396" s="86">
        <f t="shared" si="85"/>
        <v>0</v>
      </c>
      <c r="P396" s="86">
        <f t="shared" si="85"/>
        <v>0</v>
      </c>
      <c r="Q396" s="86">
        <f t="shared" si="85"/>
        <v>0</v>
      </c>
      <c r="R396" s="86">
        <f t="shared" si="85"/>
        <v>0</v>
      </c>
      <c r="S396" s="86">
        <f t="shared" si="85"/>
        <v>0</v>
      </c>
      <c r="T396" s="86">
        <f t="shared" si="85"/>
        <v>0</v>
      </c>
      <c r="U396" s="86">
        <f t="shared" si="85"/>
        <v>0</v>
      </c>
      <c r="V396" s="86">
        <f t="shared" si="85"/>
        <v>0</v>
      </c>
      <c r="W396" s="86">
        <f t="shared" si="85"/>
        <v>0</v>
      </c>
      <c r="X396" s="86">
        <f t="shared" si="85"/>
        <v>0</v>
      </c>
      <c r="Y396" s="14"/>
      <c r="Z396" s="12"/>
      <c r="AA396" s="252"/>
      <c r="AB396" s="12"/>
      <c r="AC396" s="12"/>
    </row>
    <row r="397" spans="1:29" ht="12.75" customHeight="1">
      <c r="A397" s="123" t="s">
        <v>684</v>
      </c>
      <c r="B397" s="123"/>
      <c r="C397" s="123"/>
      <c r="D397" s="127"/>
      <c r="E397" s="127"/>
      <c r="F397" s="127"/>
      <c r="G397" s="127"/>
      <c r="H397" s="127"/>
      <c r="I397" s="127"/>
      <c r="J397" s="127"/>
      <c r="K397" s="127"/>
      <c r="L397" s="127"/>
      <c r="M397" s="127"/>
      <c r="N397" s="127"/>
      <c r="O397" s="127"/>
      <c r="P397" s="127"/>
      <c r="Q397" s="127"/>
      <c r="R397" s="127"/>
      <c r="S397" s="127"/>
      <c r="T397" s="127"/>
      <c r="U397" s="127"/>
      <c r="V397" s="127"/>
      <c r="W397" s="127"/>
      <c r="X397" s="127"/>
      <c r="Y397" s="14"/>
      <c r="Z397" s="12"/>
      <c r="AB397" s="12"/>
      <c r="AC397" s="12"/>
    </row>
    <row r="398" spans="1:29" ht="12.75" customHeight="1">
      <c r="A398" s="96">
        <f>A395+1</f>
        <v>304</v>
      </c>
      <c r="B398" s="15" t="s">
        <v>314</v>
      </c>
      <c r="C398" s="97">
        <f>D398+K398+M398+O398+Q398+S398+U398+V398+W398+X398</f>
        <v>682822</v>
      </c>
      <c r="D398" s="86">
        <f>E398+F398+G398+H398+I398</f>
        <v>0</v>
      </c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>
        <v>387.9</v>
      </c>
      <c r="Q398" s="97">
        <v>682822</v>
      </c>
      <c r="R398" s="97"/>
      <c r="S398" s="97"/>
      <c r="T398" s="97"/>
      <c r="U398" s="97"/>
      <c r="V398" s="97"/>
      <c r="W398" s="86"/>
      <c r="X398" s="86"/>
      <c r="Y398" s="14"/>
      <c r="Z398" s="12"/>
      <c r="AB398" s="12"/>
      <c r="AC398" s="12"/>
    </row>
    <row r="399" spans="1:29" s="26" customFormat="1" ht="15">
      <c r="A399" s="96">
        <f>A398+1</f>
        <v>305</v>
      </c>
      <c r="B399" s="82" t="s">
        <v>752</v>
      </c>
      <c r="C399" s="97">
        <f>D399+K399+M399+O399+Q399+S399+U399+V399+W399+X399</f>
        <v>520418</v>
      </c>
      <c r="D399" s="86">
        <f>E399+F399+G399+H399+I399</f>
        <v>520418</v>
      </c>
      <c r="E399" s="249">
        <v>520418</v>
      </c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86"/>
      <c r="X399" s="255"/>
      <c r="Y399" s="267"/>
      <c r="Z399" s="268"/>
      <c r="AA399" s="268"/>
      <c r="AB399" s="12"/>
      <c r="AC399" s="12"/>
    </row>
    <row r="400" spans="1:29" ht="12.75" customHeight="1">
      <c r="A400" s="130" t="s">
        <v>597</v>
      </c>
      <c r="B400" s="130"/>
      <c r="C400" s="86">
        <f>SUM(C398:C399)</f>
        <v>1203240</v>
      </c>
      <c r="D400" s="86">
        <f aca="true" t="shared" si="86" ref="D400:X400">SUM(D398:D399)</f>
        <v>520418</v>
      </c>
      <c r="E400" s="86">
        <f t="shared" si="86"/>
        <v>520418</v>
      </c>
      <c r="F400" s="86">
        <f t="shared" si="86"/>
        <v>0</v>
      </c>
      <c r="G400" s="86">
        <f t="shared" si="86"/>
        <v>0</v>
      </c>
      <c r="H400" s="86">
        <f t="shared" si="86"/>
        <v>0</v>
      </c>
      <c r="I400" s="86">
        <f t="shared" si="86"/>
        <v>0</v>
      </c>
      <c r="J400" s="86">
        <f t="shared" si="86"/>
        <v>0</v>
      </c>
      <c r="K400" s="86">
        <f t="shared" si="86"/>
        <v>0</v>
      </c>
      <c r="L400" s="86">
        <f t="shared" si="86"/>
        <v>0</v>
      </c>
      <c r="M400" s="86">
        <f t="shared" si="86"/>
        <v>0</v>
      </c>
      <c r="N400" s="86">
        <f t="shared" si="86"/>
        <v>0</v>
      </c>
      <c r="O400" s="86">
        <f t="shared" si="86"/>
        <v>0</v>
      </c>
      <c r="P400" s="86">
        <f t="shared" si="86"/>
        <v>387.9</v>
      </c>
      <c r="Q400" s="86">
        <f t="shared" si="86"/>
        <v>682822</v>
      </c>
      <c r="R400" s="86">
        <f t="shared" si="86"/>
        <v>0</v>
      </c>
      <c r="S400" s="86">
        <f t="shared" si="86"/>
        <v>0</v>
      </c>
      <c r="T400" s="86">
        <f t="shared" si="86"/>
        <v>0</v>
      </c>
      <c r="U400" s="86">
        <f t="shared" si="86"/>
        <v>0</v>
      </c>
      <c r="V400" s="86">
        <f t="shared" si="86"/>
        <v>0</v>
      </c>
      <c r="W400" s="86">
        <f t="shared" si="86"/>
        <v>0</v>
      </c>
      <c r="X400" s="86">
        <f t="shared" si="86"/>
        <v>0</v>
      </c>
      <c r="Y400" s="14"/>
      <c r="Z400" s="12"/>
      <c r="AA400" s="12"/>
      <c r="AB400" s="12"/>
      <c r="AC400" s="12"/>
    </row>
    <row r="401" spans="1:29" ht="12.75" customHeight="1">
      <c r="A401" s="123" t="s">
        <v>629</v>
      </c>
      <c r="B401" s="123"/>
      <c r="C401" s="83">
        <f>C391+C400+C396</f>
        <v>50281494</v>
      </c>
      <c r="D401" s="83">
        <f aca="true" t="shared" si="87" ref="D401:X401">D391+D400+D396</f>
        <v>2187273</v>
      </c>
      <c r="E401" s="83">
        <f t="shared" si="87"/>
        <v>2187273</v>
      </c>
      <c r="F401" s="83">
        <f t="shared" si="87"/>
        <v>0</v>
      </c>
      <c r="G401" s="83">
        <f t="shared" si="87"/>
        <v>0</v>
      </c>
      <c r="H401" s="83">
        <f t="shared" si="87"/>
        <v>0</v>
      </c>
      <c r="I401" s="83">
        <f t="shared" si="87"/>
        <v>0</v>
      </c>
      <c r="J401" s="83">
        <f t="shared" si="87"/>
        <v>11</v>
      </c>
      <c r="K401" s="83">
        <f t="shared" si="87"/>
        <v>36834703</v>
      </c>
      <c r="L401" s="83">
        <f t="shared" si="87"/>
        <v>0</v>
      </c>
      <c r="M401" s="83">
        <f t="shared" si="87"/>
        <v>0</v>
      </c>
      <c r="N401" s="83">
        <f t="shared" si="87"/>
        <v>0</v>
      </c>
      <c r="O401" s="83">
        <f t="shared" si="87"/>
        <v>0</v>
      </c>
      <c r="P401" s="83">
        <f t="shared" si="87"/>
        <v>387.9</v>
      </c>
      <c r="Q401" s="83">
        <f t="shared" si="87"/>
        <v>682822</v>
      </c>
      <c r="R401" s="83">
        <f t="shared" si="87"/>
        <v>0</v>
      </c>
      <c r="S401" s="83">
        <f t="shared" si="87"/>
        <v>0</v>
      </c>
      <c r="T401" s="83">
        <f t="shared" si="87"/>
        <v>0</v>
      </c>
      <c r="U401" s="83">
        <f t="shared" si="87"/>
        <v>0</v>
      </c>
      <c r="V401" s="83">
        <f t="shared" si="87"/>
        <v>0</v>
      </c>
      <c r="W401" s="83">
        <f t="shared" si="87"/>
        <v>10576696</v>
      </c>
      <c r="X401" s="83">
        <f t="shared" si="87"/>
        <v>0</v>
      </c>
      <c r="Y401" s="14"/>
      <c r="Z401" s="12"/>
      <c r="AA401" s="21"/>
      <c r="AB401" s="12"/>
      <c r="AC401" s="12"/>
    </row>
    <row r="402" spans="1:29" ht="12.75" customHeight="1">
      <c r="A402" s="133" t="s">
        <v>630</v>
      </c>
      <c r="B402" s="133"/>
      <c r="C402" s="133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4"/>
      <c r="Z402" s="12"/>
      <c r="AA402" s="11"/>
      <c r="AB402" s="12"/>
      <c r="AC402" s="12"/>
    </row>
    <row r="403" spans="1:29" ht="12.75" customHeight="1">
      <c r="A403" s="123" t="s">
        <v>631</v>
      </c>
      <c r="B403" s="123"/>
      <c r="C403" s="123"/>
      <c r="D403" s="127"/>
      <c r="E403" s="127"/>
      <c r="F403" s="127"/>
      <c r="G403" s="127"/>
      <c r="H403" s="127"/>
      <c r="I403" s="127"/>
      <c r="J403" s="127"/>
      <c r="K403" s="127"/>
      <c r="L403" s="127"/>
      <c r="M403" s="127"/>
      <c r="N403" s="127"/>
      <c r="O403" s="127"/>
      <c r="P403" s="127"/>
      <c r="Q403" s="127"/>
      <c r="R403" s="127"/>
      <c r="S403" s="127"/>
      <c r="T403" s="127"/>
      <c r="U403" s="127"/>
      <c r="V403" s="127"/>
      <c r="W403" s="127"/>
      <c r="X403" s="127"/>
      <c r="Y403" s="14"/>
      <c r="Z403" s="12"/>
      <c r="AA403" s="11"/>
      <c r="AB403" s="12"/>
      <c r="AC403" s="12"/>
    </row>
    <row r="404" spans="1:29" ht="12.75" customHeight="1">
      <c r="A404" s="10">
        <f>A399+1</f>
        <v>306</v>
      </c>
      <c r="B404" s="13" t="s">
        <v>315</v>
      </c>
      <c r="C404" s="97">
        <f aca="true" t="shared" si="88" ref="C404:C420">D404+K404+M404+O404+Q404+S404+U404+V404+W404+X404</f>
        <v>2857628</v>
      </c>
      <c r="D404" s="86">
        <f aca="true" t="shared" si="89" ref="D404:D423">E404+F404+G404+H404+I404</f>
        <v>0</v>
      </c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>
        <v>3088</v>
      </c>
      <c r="Q404" s="97">
        <f>1535645</f>
        <v>1535645</v>
      </c>
      <c r="R404" s="97"/>
      <c r="S404" s="97"/>
      <c r="T404" s="97">
        <v>370</v>
      </c>
      <c r="U404" s="97">
        <f>1321983</f>
        <v>1321983</v>
      </c>
      <c r="V404" s="86"/>
      <c r="W404" s="86"/>
      <c r="X404" s="86"/>
      <c r="Y404" s="14"/>
      <c r="Z404" s="12"/>
      <c r="AA404" s="11"/>
      <c r="AB404" s="12"/>
      <c r="AC404" s="12"/>
    </row>
    <row r="405" spans="1:29" s="253" customFormat="1" ht="12.75">
      <c r="A405" s="10">
        <f>A404+1</f>
        <v>307</v>
      </c>
      <c r="B405" s="89" t="s">
        <v>316</v>
      </c>
      <c r="C405" s="97">
        <f>D405+K405+M405+O405+Q405+S405+U405+V405+W405+X405</f>
        <v>1106892</v>
      </c>
      <c r="D405" s="86">
        <f>E405+F405+G405+H405+I405</f>
        <v>1106892</v>
      </c>
      <c r="E405" s="249">
        <v>1106892</v>
      </c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86"/>
      <c r="W405" s="97"/>
      <c r="X405" s="250"/>
      <c r="Y405" s="251"/>
      <c r="Z405" s="252"/>
      <c r="AA405" s="252"/>
      <c r="AB405" s="12"/>
      <c r="AC405" s="12"/>
    </row>
    <row r="406" spans="1:29" s="253" customFormat="1" ht="12.75">
      <c r="A406" s="10">
        <f aca="true" t="shared" si="90" ref="A406:A425">A405+1</f>
        <v>308</v>
      </c>
      <c r="B406" s="82" t="s">
        <v>317</v>
      </c>
      <c r="C406" s="97">
        <f>D406+K406+M406+O406+Q406+S406+U406+V406+W406+X406</f>
        <v>1582938</v>
      </c>
      <c r="D406" s="86">
        <f>E406+F406+G406+H406+I406</f>
        <v>1582938</v>
      </c>
      <c r="E406" s="249">
        <v>1582938</v>
      </c>
      <c r="F406" s="97"/>
      <c r="G406" s="97"/>
      <c r="H406" s="97"/>
      <c r="I406" s="86"/>
      <c r="J406" s="86"/>
      <c r="K406" s="97"/>
      <c r="L406" s="97"/>
      <c r="M406" s="97"/>
      <c r="N406" s="86"/>
      <c r="O406" s="97"/>
      <c r="P406" s="97"/>
      <c r="Q406" s="97"/>
      <c r="R406" s="97"/>
      <c r="S406" s="97"/>
      <c r="T406" s="97"/>
      <c r="U406" s="97"/>
      <c r="V406" s="86"/>
      <c r="W406" s="97"/>
      <c r="X406" s="250"/>
      <c r="Y406" s="251"/>
      <c r="Z406" s="252"/>
      <c r="AA406" s="252"/>
      <c r="AB406" s="12"/>
      <c r="AC406" s="12"/>
    </row>
    <row r="407" spans="1:29" ht="12.75" customHeight="1">
      <c r="A407" s="10">
        <f t="shared" si="90"/>
        <v>309</v>
      </c>
      <c r="B407" s="13" t="s">
        <v>318</v>
      </c>
      <c r="C407" s="97">
        <f t="shared" si="88"/>
        <v>2428748</v>
      </c>
      <c r="D407" s="86">
        <f t="shared" si="89"/>
        <v>0</v>
      </c>
      <c r="E407" s="97"/>
      <c r="F407" s="97"/>
      <c r="G407" s="97"/>
      <c r="H407" s="97"/>
      <c r="I407" s="97"/>
      <c r="J407" s="97"/>
      <c r="K407" s="97"/>
      <c r="L407" s="97">
        <v>628.32</v>
      </c>
      <c r="M407" s="97">
        <f>2332226</f>
        <v>2332226</v>
      </c>
      <c r="N407" s="97"/>
      <c r="O407" s="97"/>
      <c r="P407" s="97"/>
      <c r="Q407" s="97"/>
      <c r="R407" s="97"/>
      <c r="S407" s="97"/>
      <c r="T407" s="97"/>
      <c r="U407" s="97"/>
      <c r="V407" s="86"/>
      <c r="W407" s="86">
        <v>96522</v>
      </c>
      <c r="X407" s="86"/>
      <c r="Y407" s="14"/>
      <c r="Z407" s="12"/>
      <c r="AA407" s="11"/>
      <c r="AB407" s="12"/>
      <c r="AC407" s="12"/>
    </row>
    <row r="408" spans="1:29" ht="12.75">
      <c r="A408" s="10">
        <f t="shared" si="90"/>
        <v>310</v>
      </c>
      <c r="B408" s="13" t="s">
        <v>319</v>
      </c>
      <c r="C408" s="97">
        <f t="shared" si="88"/>
        <v>2425167</v>
      </c>
      <c r="D408" s="86">
        <f t="shared" si="89"/>
        <v>0</v>
      </c>
      <c r="E408" s="97"/>
      <c r="F408" s="97"/>
      <c r="G408" s="97"/>
      <c r="H408" s="97"/>
      <c r="I408" s="97"/>
      <c r="J408" s="97"/>
      <c r="K408" s="97"/>
      <c r="L408" s="97">
        <v>626.5</v>
      </c>
      <c r="M408" s="97">
        <f>2328863</f>
        <v>2328863</v>
      </c>
      <c r="N408" s="97"/>
      <c r="O408" s="97"/>
      <c r="P408" s="97"/>
      <c r="Q408" s="97"/>
      <c r="R408" s="97"/>
      <c r="S408" s="97"/>
      <c r="T408" s="97"/>
      <c r="U408" s="97"/>
      <c r="V408" s="86"/>
      <c r="W408" s="86">
        <v>96304</v>
      </c>
      <c r="X408" s="86"/>
      <c r="Y408" s="14"/>
      <c r="Z408" s="12"/>
      <c r="AA408" s="12"/>
      <c r="AB408" s="12"/>
      <c r="AC408" s="12"/>
    </row>
    <row r="409" spans="1:29" ht="12.75" customHeight="1">
      <c r="A409" s="10">
        <f t="shared" si="90"/>
        <v>311</v>
      </c>
      <c r="B409" s="13" t="s">
        <v>320</v>
      </c>
      <c r="C409" s="97">
        <f t="shared" si="88"/>
        <v>2447877</v>
      </c>
      <c r="D409" s="86">
        <f t="shared" si="89"/>
        <v>0</v>
      </c>
      <c r="E409" s="97"/>
      <c r="F409" s="97"/>
      <c r="G409" s="97"/>
      <c r="H409" s="97"/>
      <c r="I409" s="97"/>
      <c r="J409" s="97"/>
      <c r="K409" s="97"/>
      <c r="L409" s="97">
        <v>627.62</v>
      </c>
      <c r="M409" s="97">
        <f>2351428</f>
        <v>2351428</v>
      </c>
      <c r="N409" s="97"/>
      <c r="O409" s="97"/>
      <c r="P409" s="97"/>
      <c r="Q409" s="97"/>
      <c r="R409" s="97"/>
      <c r="S409" s="97"/>
      <c r="T409" s="97"/>
      <c r="U409" s="97"/>
      <c r="V409" s="86"/>
      <c r="W409" s="97">
        <v>96449</v>
      </c>
      <c r="X409" s="97"/>
      <c r="Y409" s="14"/>
      <c r="Z409" s="12"/>
      <c r="AA409" s="11"/>
      <c r="AB409" s="12"/>
      <c r="AC409" s="12"/>
    </row>
    <row r="410" spans="1:29" ht="12.75" customHeight="1">
      <c r="A410" s="10">
        <f t="shared" si="90"/>
        <v>312</v>
      </c>
      <c r="B410" s="13" t="s">
        <v>321</v>
      </c>
      <c r="C410" s="97">
        <f t="shared" si="88"/>
        <v>2409300</v>
      </c>
      <c r="D410" s="86">
        <f t="shared" si="89"/>
        <v>0</v>
      </c>
      <c r="E410" s="97"/>
      <c r="F410" s="97"/>
      <c r="G410" s="97"/>
      <c r="H410" s="97"/>
      <c r="I410" s="97"/>
      <c r="J410" s="86"/>
      <c r="K410" s="97"/>
      <c r="L410" s="97">
        <v>614.04</v>
      </c>
      <c r="M410" s="97">
        <f>2310668</f>
        <v>2310668</v>
      </c>
      <c r="N410" s="86"/>
      <c r="O410" s="97"/>
      <c r="P410" s="97"/>
      <c r="Q410" s="97"/>
      <c r="R410" s="97"/>
      <c r="S410" s="97"/>
      <c r="T410" s="97"/>
      <c r="U410" s="97"/>
      <c r="V410" s="86"/>
      <c r="W410" s="86">
        <v>98632</v>
      </c>
      <c r="X410" s="86"/>
      <c r="Y410" s="14"/>
      <c r="Z410" s="12"/>
      <c r="AA410" s="11"/>
      <c r="AB410" s="12"/>
      <c r="AC410" s="12"/>
    </row>
    <row r="411" spans="1:29" ht="12.75" customHeight="1">
      <c r="A411" s="10">
        <f t="shared" si="90"/>
        <v>313</v>
      </c>
      <c r="B411" s="13" t="s">
        <v>322</v>
      </c>
      <c r="C411" s="97">
        <f t="shared" si="88"/>
        <v>2291958</v>
      </c>
      <c r="D411" s="86">
        <f t="shared" si="89"/>
        <v>0</v>
      </c>
      <c r="E411" s="97"/>
      <c r="F411" s="97"/>
      <c r="G411" s="97"/>
      <c r="H411" s="97"/>
      <c r="I411" s="97"/>
      <c r="J411" s="86"/>
      <c r="K411" s="97"/>
      <c r="L411" s="97">
        <v>719.74</v>
      </c>
      <c r="M411" s="97">
        <f>2291958</f>
        <v>2291958</v>
      </c>
      <c r="N411" s="86"/>
      <c r="O411" s="97"/>
      <c r="P411" s="97"/>
      <c r="Q411" s="97"/>
      <c r="R411" s="97"/>
      <c r="S411" s="97"/>
      <c r="T411" s="97"/>
      <c r="U411" s="97"/>
      <c r="V411" s="86"/>
      <c r="W411" s="86"/>
      <c r="X411" s="86"/>
      <c r="Y411" s="14"/>
      <c r="Z411" s="12"/>
      <c r="AA411" s="11"/>
      <c r="AB411" s="12"/>
      <c r="AC411" s="12"/>
    </row>
    <row r="412" spans="1:29" ht="12.75" customHeight="1">
      <c r="A412" s="10">
        <f t="shared" si="90"/>
        <v>314</v>
      </c>
      <c r="B412" s="13" t="s">
        <v>332</v>
      </c>
      <c r="C412" s="97">
        <f t="shared" si="88"/>
        <v>114495</v>
      </c>
      <c r="D412" s="86">
        <f t="shared" si="89"/>
        <v>0</v>
      </c>
      <c r="E412" s="97"/>
      <c r="F412" s="97"/>
      <c r="G412" s="97"/>
      <c r="H412" s="97"/>
      <c r="I412" s="97"/>
      <c r="J412" s="86"/>
      <c r="K412" s="97"/>
      <c r="L412" s="97"/>
      <c r="M412" s="97"/>
      <c r="N412" s="86"/>
      <c r="O412" s="97"/>
      <c r="P412" s="97"/>
      <c r="Q412" s="97"/>
      <c r="R412" s="97"/>
      <c r="S412" s="97"/>
      <c r="T412" s="97"/>
      <c r="U412" s="97"/>
      <c r="V412" s="86"/>
      <c r="W412" s="86">
        <v>114495</v>
      </c>
      <c r="X412" s="86"/>
      <c r="Y412" s="14"/>
      <c r="Z412" s="12"/>
      <c r="AA412" s="11"/>
      <c r="AB412" s="12"/>
      <c r="AC412" s="12"/>
    </row>
    <row r="413" spans="1:29" ht="12.75" customHeight="1">
      <c r="A413" s="10">
        <f t="shared" si="90"/>
        <v>315</v>
      </c>
      <c r="B413" s="13" t="s">
        <v>330</v>
      </c>
      <c r="C413" s="97">
        <f t="shared" si="88"/>
        <v>3392689</v>
      </c>
      <c r="D413" s="86">
        <f t="shared" si="89"/>
        <v>1155919</v>
      </c>
      <c r="E413" s="97"/>
      <c r="F413" s="97">
        <f>535189</f>
        <v>535189</v>
      </c>
      <c r="G413" s="97">
        <f>240067</f>
        <v>240067</v>
      </c>
      <c r="H413" s="97">
        <f>380663</f>
        <v>380663</v>
      </c>
      <c r="I413" s="97"/>
      <c r="J413" s="86"/>
      <c r="K413" s="97"/>
      <c r="L413" s="97">
        <v>702.8</v>
      </c>
      <c r="M413" s="97">
        <f>2104313</f>
        <v>2104313</v>
      </c>
      <c r="N413" s="86"/>
      <c r="O413" s="97"/>
      <c r="P413" s="97"/>
      <c r="Q413" s="97"/>
      <c r="R413" s="97"/>
      <c r="S413" s="97"/>
      <c r="T413" s="97"/>
      <c r="U413" s="97"/>
      <c r="V413" s="86">
        <v>40239</v>
      </c>
      <c r="W413" s="97">
        <v>92218</v>
      </c>
      <c r="X413" s="86"/>
      <c r="Y413" s="14"/>
      <c r="Z413" s="12"/>
      <c r="AA413" s="11"/>
      <c r="AB413" s="12"/>
      <c r="AC413" s="12"/>
    </row>
    <row r="414" spans="1:29" s="253" customFormat="1" ht="12.75">
      <c r="A414" s="10">
        <f t="shared" si="90"/>
        <v>316</v>
      </c>
      <c r="B414" s="89" t="s">
        <v>323</v>
      </c>
      <c r="C414" s="97">
        <f>D414+K414+M414+O414+Q414+S414+U414+V414+W414+X414</f>
        <v>646237</v>
      </c>
      <c r="D414" s="86">
        <f>E414+F414+G414+H414+I414</f>
        <v>646237</v>
      </c>
      <c r="E414" s="249">
        <v>646237</v>
      </c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86"/>
      <c r="W414" s="97"/>
      <c r="X414" s="250"/>
      <c r="Y414" s="251"/>
      <c r="Z414" s="252"/>
      <c r="AA414" s="252"/>
      <c r="AB414" s="12"/>
      <c r="AC414" s="12"/>
    </row>
    <row r="415" spans="1:29" ht="12.75" customHeight="1">
      <c r="A415" s="10">
        <f t="shared" si="90"/>
        <v>317</v>
      </c>
      <c r="B415" s="13" t="s">
        <v>331</v>
      </c>
      <c r="C415" s="97">
        <f t="shared" si="88"/>
        <v>3355804</v>
      </c>
      <c r="D415" s="86">
        <f t="shared" si="89"/>
        <v>0</v>
      </c>
      <c r="E415" s="97"/>
      <c r="F415" s="97"/>
      <c r="G415" s="97"/>
      <c r="H415" s="97"/>
      <c r="I415" s="97"/>
      <c r="J415" s="10">
        <v>1</v>
      </c>
      <c r="K415" s="97">
        <f>925000+2207868</f>
        <v>3132868</v>
      </c>
      <c r="L415" s="97"/>
      <c r="M415" s="97"/>
      <c r="N415" s="86"/>
      <c r="O415" s="97"/>
      <c r="P415" s="97"/>
      <c r="Q415" s="97"/>
      <c r="R415" s="97"/>
      <c r="S415" s="97"/>
      <c r="T415" s="97"/>
      <c r="U415" s="97"/>
      <c r="V415" s="86"/>
      <c r="W415" s="86">
        <v>222936</v>
      </c>
      <c r="X415" s="86"/>
      <c r="Y415" s="14"/>
      <c r="Z415" s="12"/>
      <c r="AA415" s="11"/>
      <c r="AB415" s="12"/>
      <c r="AC415" s="12"/>
    </row>
    <row r="416" spans="1:29" ht="12.75" customHeight="1">
      <c r="A416" s="10">
        <f t="shared" si="90"/>
        <v>318</v>
      </c>
      <c r="B416" s="13" t="s">
        <v>324</v>
      </c>
      <c r="C416" s="97">
        <f t="shared" si="88"/>
        <v>299365</v>
      </c>
      <c r="D416" s="86">
        <f t="shared" si="89"/>
        <v>0</v>
      </c>
      <c r="E416" s="97"/>
      <c r="F416" s="97"/>
      <c r="G416" s="97"/>
      <c r="H416" s="97"/>
      <c r="I416" s="97"/>
      <c r="J416" s="86"/>
      <c r="K416" s="97"/>
      <c r="L416" s="97"/>
      <c r="M416" s="97"/>
      <c r="N416" s="86"/>
      <c r="O416" s="97"/>
      <c r="P416" s="97"/>
      <c r="Q416" s="97"/>
      <c r="R416" s="97"/>
      <c r="S416" s="97"/>
      <c r="T416" s="97"/>
      <c r="U416" s="97"/>
      <c r="V416" s="86"/>
      <c r="W416" s="86">
        <v>299365</v>
      </c>
      <c r="X416" s="86"/>
      <c r="Y416" s="14"/>
      <c r="Z416" s="12"/>
      <c r="AA416" s="11"/>
      <c r="AB416" s="12"/>
      <c r="AC416" s="12"/>
    </row>
    <row r="417" spans="1:29" s="253" customFormat="1" ht="12.75">
      <c r="A417" s="10">
        <f t="shared" si="90"/>
        <v>319</v>
      </c>
      <c r="B417" s="89" t="s">
        <v>325</v>
      </c>
      <c r="C417" s="97">
        <f>D417+K417+M417+O417+Q417+S417+U417+V417+W417+X417</f>
        <v>7930327</v>
      </c>
      <c r="D417" s="86">
        <f>E417+F417+G417+H417+I417</f>
        <v>0</v>
      </c>
      <c r="E417" s="97"/>
      <c r="F417" s="97"/>
      <c r="G417" s="97"/>
      <c r="H417" s="97"/>
      <c r="I417" s="97"/>
      <c r="J417" s="97"/>
      <c r="K417" s="97"/>
      <c r="L417" s="97">
        <v>1135</v>
      </c>
      <c r="M417" s="254">
        <v>7930327</v>
      </c>
      <c r="N417" s="97"/>
      <c r="O417" s="97"/>
      <c r="P417" s="97"/>
      <c r="Q417" s="97"/>
      <c r="R417" s="97"/>
      <c r="S417" s="97"/>
      <c r="T417" s="97"/>
      <c r="U417" s="97"/>
      <c r="V417" s="86"/>
      <c r="W417" s="97"/>
      <c r="X417" s="250"/>
      <c r="Y417" s="251"/>
      <c r="Z417" s="252"/>
      <c r="AA417" s="252"/>
      <c r="AB417" s="12"/>
      <c r="AC417" s="12"/>
    </row>
    <row r="418" spans="1:29" ht="12.75" customHeight="1">
      <c r="A418" s="10">
        <f t="shared" si="90"/>
        <v>320</v>
      </c>
      <c r="B418" s="13" t="s">
        <v>326</v>
      </c>
      <c r="C418" s="97">
        <f t="shared" si="88"/>
        <v>2562825</v>
      </c>
      <c r="D418" s="86">
        <f t="shared" si="89"/>
        <v>0</v>
      </c>
      <c r="E418" s="97"/>
      <c r="F418" s="97"/>
      <c r="G418" s="97"/>
      <c r="H418" s="97"/>
      <c r="I418" s="97"/>
      <c r="J418" s="86"/>
      <c r="K418" s="97"/>
      <c r="L418" s="97">
        <v>620.34</v>
      </c>
      <c r="M418" s="97">
        <f>2467298</f>
        <v>2467298</v>
      </c>
      <c r="N418" s="86"/>
      <c r="O418" s="97"/>
      <c r="P418" s="97"/>
      <c r="Q418" s="97"/>
      <c r="R418" s="97"/>
      <c r="S418" s="97"/>
      <c r="T418" s="97"/>
      <c r="U418" s="97"/>
      <c r="V418" s="86"/>
      <c r="W418" s="86">
        <v>95527</v>
      </c>
      <c r="X418" s="86"/>
      <c r="Y418" s="14"/>
      <c r="Z418" s="12"/>
      <c r="AA418" s="11"/>
      <c r="AB418" s="12"/>
      <c r="AC418" s="12"/>
    </row>
    <row r="419" spans="1:29" s="253" customFormat="1" ht="12.75">
      <c r="A419" s="10">
        <f t="shared" si="90"/>
        <v>321</v>
      </c>
      <c r="B419" s="89" t="s">
        <v>753</v>
      </c>
      <c r="C419" s="97">
        <f>D419+K419+M419+O419+Q419+S419+U419+V419+W419+X419</f>
        <v>6488034</v>
      </c>
      <c r="D419" s="86">
        <f>E419+F419+G419+H419+I419</f>
        <v>5914525</v>
      </c>
      <c r="E419" s="97"/>
      <c r="F419" s="249">
        <v>936879</v>
      </c>
      <c r="G419" s="249">
        <v>3078378</v>
      </c>
      <c r="H419" s="249">
        <v>1899268</v>
      </c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249">
        <v>573509</v>
      </c>
      <c r="W419" s="97"/>
      <c r="X419" s="250"/>
      <c r="Y419" s="251"/>
      <c r="Z419" s="252"/>
      <c r="AA419" s="252"/>
      <c r="AB419" s="12"/>
      <c r="AC419" s="12"/>
    </row>
    <row r="420" spans="1:29" ht="12.75" customHeight="1">
      <c r="A420" s="10">
        <f t="shared" si="90"/>
        <v>322</v>
      </c>
      <c r="B420" s="13" t="s">
        <v>333</v>
      </c>
      <c r="C420" s="97">
        <f t="shared" si="88"/>
        <v>3160069</v>
      </c>
      <c r="D420" s="86">
        <f t="shared" si="89"/>
        <v>0</v>
      </c>
      <c r="E420" s="97"/>
      <c r="F420" s="97"/>
      <c r="G420" s="97"/>
      <c r="H420" s="97"/>
      <c r="I420" s="97"/>
      <c r="J420" s="86"/>
      <c r="K420" s="97"/>
      <c r="L420" s="97">
        <v>977.06</v>
      </c>
      <c r="M420" s="97">
        <f>3043570</f>
        <v>3043570</v>
      </c>
      <c r="N420" s="86"/>
      <c r="O420" s="97"/>
      <c r="P420" s="97"/>
      <c r="Q420" s="97"/>
      <c r="R420" s="97"/>
      <c r="S420" s="97"/>
      <c r="T420" s="97"/>
      <c r="U420" s="97"/>
      <c r="V420" s="86"/>
      <c r="W420" s="86">
        <v>116499</v>
      </c>
      <c r="X420" s="86"/>
      <c r="Y420" s="14"/>
      <c r="Z420" s="12"/>
      <c r="AA420" s="11"/>
      <c r="AB420" s="12"/>
      <c r="AC420" s="12"/>
    </row>
    <row r="421" spans="1:29" s="253" customFormat="1" ht="12.75">
      <c r="A421" s="10">
        <f t="shared" si="90"/>
        <v>323</v>
      </c>
      <c r="B421" s="82" t="s">
        <v>327</v>
      </c>
      <c r="C421" s="97">
        <f>D421+K421+M421+O421+Q421+S421+U421+V421+W421+X421</f>
        <v>2063682</v>
      </c>
      <c r="D421" s="86">
        <f>E421+F421+G421+H421+I421</f>
        <v>2063682</v>
      </c>
      <c r="E421" s="249">
        <v>2063682</v>
      </c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86"/>
      <c r="W421" s="97"/>
      <c r="X421" s="250"/>
      <c r="Y421" s="251"/>
      <c r="Z421" s="252"/>
      <c r="AA421" s="252"/>
      <c r="AB421" s="12"/>
      <c r="AC421" s="12"/>
    </row>
    <row r="422" spans="1:29" s="253" customFormat="1" ht="12.75">
      <c r="A422" s="10">
        <f t="shared" si="90"/>
        <v>324</v>
      </c>
      <c r="B422" s="89" t="s">
        <v>754</v>
      </c>
      <c r="C422" s="97">
        <f>D422+K422+M422+O422+Q422+S422+U422+V422+W422+X422</f>
        <v>1292667</v>
      </c>
      <c r="D422" s="86">
        <f>E422+F422+G422+H422+I422</f>
        <v>1292667</v>
      </c>
      <c r="E422" s="249">
        <v>1292667</v>
      </c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86"/>
      <c r="W422" s="97"/>
      <c r="X422" s="250"/>
      <c r="Y422" s="251"/>
      <c r="Z422" s="252"/>
      <c r="AA422" s="252"/>
      <c r="AB422" s="12"/>
      <c r="AC422" s="12"/>
    </row>
    <row r="423" spans="1:29" ht="12.75" customHeight="1">
      <c r="A423" s="10">
        <f t="shared" si="90"/>
        <v>325</v>
      </c>
      <c r="B423" s="13" t="s">
        <v>334</v>
      </c>
      <c r="C423" s="97">
        <f>D423+K423+M423+O423+Q423+S423+U423+V423+W423+X423</f>
        <v>2848094</v>
      </c>
      <c r="D423" s="86">
        <f t="shared" si="89"/>
        <v>0</v>
      </c>
      <c r="E423" s="97"/>
      <c r="F423" s="97"/>
      <c r="G423" s="97"/>
      <c r="H423" s="97"/>
      <c r="I423" s="97"/>
      <c r="J423" s="86"/>
      <c r="K423" s="97"/>
      <c r="L423" s="97">
        <v>988.26</v>
      </c>
      <c r="M423" s="97">
        <f>2717778</f>
        <v>2717778</v>
      </c>
      <c r="N423" s="86"/>
      <c r="O423" s="97"/>
      <c r="P423" s="97"/>
      <c r="Q423" s="97"/>
      <c r="R423" s="97"/>
      <c r="S423" s="97"/>
      <c r="T423" s="97"/>
      <c r="U423" s="97"/>
      <c r="V423" s="86"/>
      <c r="W423" s="86">
        <v>130316</v>
      </c>
      <c r="X423" s="86"/>
      <c r="Y423" s="14"/>
      <c r="Z423" s="12"/>
      <c r="AA423" s="11"/>
      <c r="AB423" s="12"/>
      <c r="AC423" s="12"/>
    </row>
    <row r="424" spans="1:29" s="253" customFormat="1" ht="12.75">
      <c r="A424" s="10">
        <f t="shared" si="90"/>
        <v>326</v>
      </c>
      <c r="B424" s="89" t="s">
        <v>328</v>
      </c>
      <c r="C424" s="97">
        <f>D424+K424+M424+O424+Q424+S424+U424+V424+W424+X424</f>
        <v>10956258</v>
      </c>
      <c r="D424" s="86">
        <f>E424+F424+G424+H424+I424</f>
        <v>6998810</v>
      </c>
      <c r="E424" s="249">
        <v>1270835</v>
      </c>
      <c r="F424" s="249">
        <v>4610927</v>
      </c>
      <c r="G424" s="249">
        <v>669344</v>
      </c>
      <c r="H424" s="249">
        <v>447704</v>
      </c>
      <c r="I424" s="97"/>
      <c r="J424" s="97"/>
      <c r="K424" s="97"/>
      <c r="L424" s="97">
        <v>564</v>
      </c>
      <c r="M424" s="254">
        <v>3383939</v>
      </c>
      <c r="N424" s="97"/>
      <c r="O424" s="97"/>
      <c r="P424" s="97"/>
      <c r="Q424" s="97"/>
      <c r="R424" s="97"/>
      <c r="S424" s="97"/>
      <c r="T424" s="97"/>
      <c r="U424" s="97"/>
      <c r="V424" s="249">
        <v>573509</v>
      </c>
      <c r="W424" s="97"/>
      <c r="X424" s="250"/>
      <c r="Y424" s="251"/>
      <c r="Z424" s="252"/>
      <c r="AA424" s="252"/>
      <c r="AB424" s="12"/>
      <c r="AC424" s="12"/>
    </row>
    <row r="425" spans="1:29" s="253" customFormat="1" ht="12.75">
      <c r="A425" s="10">
        <f t="shared" si="90"/>
        <v>327</v>
      </c>
      <c r="B425" s="82" t="s">
        <v>329</v>
      </c>
      <c r="C425" s="97">
        <f>D425+K425+M425+O425+Q425+S425+U425+V425+W425+X425</f>
        <v>1319152</v>
      </c>
      <c r="D425" s="86">
        <f>E425+F425+G425+H425+I425</f>
        <v>1319152</v>
      </c>
      <c r="E425" s="249">
        <v>1319152</v>
      </c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86"/>
      <c r="W425" s="97"/>
      <c r="X425" s="250"/>
      <c r="Y425" s="251"/>
      <c r="Z425" s="252"/>
      <c r="AA425" s="252"/>
      <c r="AB425" s="12"/>
      <c r="AC425" s="12"/>
    </row>
    <row r="426" spans="1:29" ht="12.75" customHeight="1">
      <c r="A426" s="130" t="s">
        <v>597</v>
      </c>
      <c r="B426" s="130"/>
      <c r="C426" s="97">
        <f>SUM(C404:C425)</f>
        <v>63980206</v>
      </c>
      <c r="D426" s="97">
        <f aca="true" t="shared" si="91" ref="D426:X426">SUM(D404:D425)</f>
        <v>22080822</v>
      </c>
      <c r="E426" s="97">
        <f t="shared" si="91"/>
        <v>9282403</v>
      </c>
      <c r="F426" s="97">
        <f t="shared" si="91"/>
        <v>6082995</v>
      </c>
      <c r="G426" s="97">
        <f t="shared" si="91"/>
        <v>3987789</v>
      </c>
      <c r="H426" s="97">
        <f t="shared" si="91"/>
        <v>2727635</v>
      </c>
      <c r="I426" s="97">
        <f t="shared" si="91"/>
        <v>0</v>
      </c>
      <c r="J426" s="96">
        <f t="shared" si="91"/>
        <v>1</v>
      </c>
      <c r="K426" s="97">
        <f t="shared" si="91"/>
        <v>3132868</v>
      </c>
      <c r="L426" s="97">
        <f t="shared" si="91"/>
        <v>8203.68</v>
      </c>
      <c r="M426" s="97">
        <f t="shared" si="91"/>
        <v>33262368</v>
      </c>
      <c r="N426" s="97">
        <f t="shared" si="91"/>
        <v>0</v>
      </c>
      <c r="O426" s="97">
        <f t="shared" si="91"/>
        <v>0</v>
      </c>
      <c r="P426" s="97">
        <f t="shared" si="91"/>
        <v>3088</v>
      </c>
      <c r="Q426" s="97">
        <f t="shared" si="91"/>
        <v>1535645</v>
      </c>
      <c r="R426" s="97">
        <f t="shared" si="91"/>
        <v>0</v>
      </c>
      <c r="S426" s="97">
        <f t="shared" si="91"/>
        <v>0</v>
      </c>
      <c r="T426" s="97">
        <f t="shared" si="91"/>
        <v>370</v>
      </c>
      <c r="U426" s="97">
        <f t="shared" si="91"/>
        <v>1321983</v>
      </c>
      <c r="V426" s="97">
        <f t="shared" si="91"/>
        <v>1187257</v>
      </c>
      <c r="W426" s="97">
        <f t="shared" si="91"/>
        <v>1459263</v>
      </c>
      <c r="X426" s="97">
        <f t="shared" si="91"/>
        <v>0</v>
      </c>
      <c r="Y426" s="14"/>
      <c r="Z426" s="12"/>
      <c r="AA426" s="12"/>
      <c r="AB426" s="12"/>
      <c r="AC426" s="12"/>
    </row>
    <row r="427" spans="1:29" ht="12.75" customHeight="1">
      <c r="A427" s="123" t="s">
        <v>632</v>
      </c>
      <c r="B427" s="123"/>
      <c r="C427" s="123"/>
      <c r="D427" s="127"/>
      <c r="E427" s="127"/>
      <c r="F427" s="127"/>
      <c r="G427" s="127"/>
      <c r="H427" s="127"/>
      <c r="I427" s="127"/>
      <c r="J427" s="127"/>
      <c r="K427" s="127"/>
      <c r="L427" s="127"/>
      <c r="M427" s="127"/>
      <c r="N427" s="127"/>
      <c r="O427" s="127"/>
      <c r="P427" s="127"/>
      <c r="Q427" s="127"/>
      <c r="R427" s="127"/>
      <c r="S427" s="127"/>
      <c r="T427" s="127"/>
      <c r="U427" s="127"/>
      <c r="V427" s="127"/>
      <c r="W427" s="127"/>
      <c r="X427" s="127"/>
      <c r="Y427" s="14"/>
      <c r="Z427" s="12"/>
      <c r="AA427" s="11"/>
      <c r="AB427" s="12"/>
      <c r="AC427" s="12"/>
    </row>
    <row r="428" spans="1:29" ht="15.75" customHeight="1">
      <c r="A428" s="10">
        <f>A425+1</f>
        <v>328</v>
      </c>
      <c r="B428" s="13" t="s">
        <v>339</v>
      </c>
      <c r="C428" s="97">
        <f>D428+K428+M428+O428+Q428+S428+U428+V428+W428+X428</f>
        <v>355120</v>
      </c>
      <c r="D428" s="86">
        <f aca="true" t="shared" si="92" ref="D428:D442">E428+F428+G428+H428+I428</f>
        <v>0</v>
      </c>
      <c r="E428" s="97"/>
      <c r="F428" s="97"/>
      <c r="G428" s="97"/>
      <c r="H428" s="97"/>
      <c r="I428" s="97"/>
      <c r="J428" s="86"/>
      <c r="K428" s="97"/>
      <c r="L428" s="97"/>
      <c r="M428" s="97"/>
      <c r="N428" s="86"/>
      <c r="O428" s="97"/>
      <c r="P428" s="97"/>
      <c r="Q428" s="97"/>
      <c r="R428" s="97"/>
      <c r="S428" s="97"/>
      <c r="T428" s="97"/>
      <c r="U428" s="97"/>
      <c r="V428" s="86"/>
      <c r="W428" s="97">
        <f>122628+122628+109864</f>
        <v>355120</v>
      </c>
      <c r="X428" s="97"/>
      <c r="Y428" s="14"/>
      <c r="Z428" s="12"/>
      <c r="AA428" s="12"/>
      <c r="AB428" s="12"/>
      <c r="AC428" s="12"/>
    </row>
    <row r="429" spans="1:29" ht="15.75" customHeight="1">
      <c r="A429" s="10">
        <f>A428+1</f>
        <v>329</v>
      </c>
      <c r="B429" s="13" t="s">
        <v>340</v>
      </c>
      <c r="C429" s="97">
        <f aca="true" t="shared" si="93" ref="C429:C442">D429+K429+M429+O429+Q429+S429+U429+V429+W429+X429</f>
        <v>309400</v>
      </c>
      <c r="D429" s="86">
        <f t="shared" si="92"/>
        <v>0</v>
      </c>
      <c r="E429" s="97"/>
      <c r="F429" s="97"/>
      <c r="G429" s="97"/>
      <c r="H429" s="97"/>
      <c r="I429" s="97"/>
      <c r="J429" s="86"/>
      <c r="K429" s="97"/>
      <c r="L429" s="97"/>
      <c r="M429" s="97"/>
      <c r="N429" s="86"/>
      <c r="O429" s="97"/>
      <c r="P429" s="97"/>
      <c r="Q429" s="97"/>
      <c r="R429" s="97"/>
      <c r="S429" s="97"/>
      <c r="T429" s="97"/>
      <c r="U429" s="97"/>
      <c r="V429" s="86"/>
      <c r="W429" s="97">
        <f>107189+107189+95022</f>
        <v>309400</v>
      </c>
      <c r="X429" s="97"/>
      <c r="Y429" s="14"/>
      <c r="Z429" s="12"/>
      <c r="AA429" s="12"/>
      <c r="AB429" s="12"/>
      <c r="AC429" s="12"/>
    </row>
    <row r="430" spans="1:29" ht="15.75" customHeight="1">
      <c r="A430" s="10">
        <f aca="true" t="shared" si="94" ref="A430:A442">A429+1</f>
        <v>330</v>
      </c>
      <c r="B430" s="13" t="s">
        <v>335</v>
      </c>
      <c r="C430" s="97">
        <f t="shared" si="93"/>
        <v>342300</v>
      </c>
      <c r="D430" s="86">
        <f t="shared" si="92"/>
        <v>0</v>
      </c>
      <c r="E430" s="97"/>
      <c r="F430" s="97"/>
      <c r="G430" s="97"/>
      <c r="H430" s="97"/>
      <c r="I430" s="97"/>
      <c r="J430" s="86"/>
      <c r="K430" s="97"/>
      <c r="L430" s="97"/>
      <c r="M430" s="97"/>
      <c r="N430" s="86"/>
      <c r="O430" s="97"/>
      <c r="P430" s="97"/>
      <c r="Q430" s="97"/>
      <c r="R430" s="97"/>
      <c r="S430" s="97"/>
      <c r="T430" s="97"/>
      <c r="U430" s="97"/>
      <c r="V430" s="86"/>
      <c r="W430" s="97">
        <f>118299+118299+105702</f>
        <v>342300</v>
      </c>
      <c r="X430" s="97"/>
      <c r="Y430" s="14"/>
      <c r="Z430" s="12"/>
      <c r="AA430" s="12"/>
      <c r="AB430" s="12"/>
      <c r="AC430" s="12"/>
    </row>
    <row r="431" spans="1:29" ht="15.75" customHeight="1">
      <c r="A431" s="10">
        <f t="shared" si="94"/>
        <v>331</v>
      </c>
      <c r="B431" s="13" t="s">
        <v>343</v>
      </c>
      <c r="C431" s="97">
        <f t="shared" si="93"/>
        <v>356278</v>
      </c>
      <c r="D431" s="86">
        <f t="shared" si="92"/>
        <v>0</v>
      </c>
      <c r="E431" s="97"/>
      <c r="F431" s="97"/>
      <c r="G431" s="97"/>
      <c r="H431" s="97"/>
      <c r="I431" s="97"/>
      <c r="J431" s="86"/>
      <c r="K431" s="97"/>
      <c r="L431" s="97"/>
      <c r="M431" s="97"/>
      <c r="N431" s="86"/>
      <c r="O431" s="97"/>
      <c r="P431" s="97"/>
      <c r="Q431" s="97"/>
      <c r="R431" s="97"/>
      <c r="S431" s="97"/>
      <c r="T431" s="97"/>
      <c r="U431" s="97"/>
      <c r="V431" s="86"/>
      <c r="W431" s="97">
        <f>123019+123019+110240</f>
        <v>356278</v>
      </c>
      <c r="X431" s="97"/>
      <c r="Y431" s="14"/>
      <c r="Z431" s="12"/>
      <c r="AA431" s="12"/>
      <c r="AB431" s="12"/>
      <c r="AC431" s="12"/>
    </row>
    <row r="432" spans="1:29" ht="17.25" customHeight="1">
      <c r="A432" s="10">
        <f t="shared" si="94"/>
        <v>332</v>
      </c>
      <c r="B432" s="13" t="s">
        <v>344</v>
      </c>
      <c r="C432" s="97">
        <f t="shared" si="93"/>
        <v>377054</v>
      </c>
      <c r="D432" s="86">
        <f t="shared" si="92"/>
        <v>0</v>
      </c>
      <c r="E432" s="97"/>
      <c r="F432" s="97"/>
      <c r="G432" s="97"/>
      <c r="H432" s="97"/>
      <c r="I432" s="97"/>
      <c r="J432" s="86"/>
      <c r="K432" s="97"/>
      <c r="L432" s="97"/>
      <c r="M432" s="97"/>
      <c r="N432" s="86"/>
      <c r="O432" s="97"/>
      <c r="P432" s="97"/>
      <c r="Q432" s="97"/>
      <c r="R432" s="97"/>
      <c r="S432" s="97"/>
      <c r="T432" s="97"/>
      <c r="U432" s="97"/>
      <c r="V432" s="86"/>
      <c r="W432" s="86">
        <f>130035+130035+116984</f>
        <v>377054</v>
      </c>
      <c r="X432" s="97"/>
      <c r="Y432" s="14"/>
      <c r="Z432" s="12"/>
      <c r="AA432" s="12"/>
      <c r="AB432" s="12"/>
      <c r="AC432" s="12"/>
    </row>
    <row r="433" spans="1:29" ht="17.25" customHeight="1">
      <c r="A433" s="10">
        <f t="shared" si="94"/>
        <v>333</v>
      </c>
      <c r="B433" s="13" t="s">
        <v>341</v>
      </c>
      <c r="C433" s="97">
        <f t="shared" si="93"/>
        <v>365778</v>
      </c>
      <c r="D433" s="86">
        <f t="shared" si="92"/>
        <v>0</v>
      </c>
      <c r="E433" s="97"/>
      <c r="F433" s="97"/>
      <c r="G433" s="97"/>
      <c r="H433" s="97"/>
      <c r="I433" s="97"/>
      <c r="J433" s="86"/>
      <c r="K433" s="97"/>
      <c r="L433" s="97"/>
      <c r="M433" s="97"/>
      <c r="N433" s="86"/>
      <c r="O433" s="97"/>
      <c r="P433" s="97"/>
      <c r="Q433" s="97"/>
      <c r="R433" s="97"/>
      <c r="S433" s="97"/>
      <c r="T433" s="97"/>
      <c r="U433" s="97"/>
      <c r="V433" s="86"/>
      <c r="W433" s="97">
        <f>126227+126227+113324</f>
        <v>365778</v>
      </c>
      <c r="X433" s="97"/>
      <c r="Y433" s="14"/>
      <c r="Z433" s="12"/>
      <c r="AA433" s="12"/>
      <c r="AB433" s="12"/>
      <c r="AC433" s="12"/>
    </row>
    <row r="434" spans="1:29" ht="17.25" customHeight="1">
      <c r="A434" s="10">
        <f t="shared" si="94"/>
        <v>334</v>
      </c>
      <c r="B434" s="13" t="s">
        <v>342</v>
      </c>
      <c r="C434" s="97">
        <f t="shared" si="93"/>
        <v>366936</v>
      </c>
      <c r="D434" s="86">
        <f t="shared" si="92"/>
        <v>0</v>
      </c>
      <c r="E434" s="97"/>
      <c r="F434" s="97"/>
      <c r="G434" s="97"/>
      <c r="H434" s="97"/>
      <c r="I434" s="97"/>
      <c r="J434" s="86"/>
      <c r="K434" s="97"/>
      <c r="L434" s="97"/>
      <c r="M434" s="97"/>
      <c r="N434" s="86"/>
      <c r="O434" s="97"/>
      <c r="P434" s="97"/>
      <c r="Q434" s="97"/>
      <c r="R434" s="97"/>
      <c r="S434" s="97"/>
      <c r="T434" s="97"/>
      <c r="U434" s="97"/>
      <c r="V434" s="86"/>
      <c r="W434" s="97">
        <f>126618+126618+113700</f>
        <v>366936</v>
      </c>
      <c r="X434" s="97"/>
      <c r="Y434" s="14"/>
      <c r="Z434" s="12"/>
      <c r="AA434" s="12"/>
      <c r="AB434" s="12"/>
      <c r="AC434" s="12"/>
    </row>
    <row r="435" spans="1:29" ht="17.25" customHeight="1">
      <c r="A435" s="10">
        <f t="shared" si="94"/>
        <v>335</v>
      </c>
      <c r="B435" s="13" t="s">
        <v>346</v>
      </c>
      <c r="C435" s="97">
        <f t="shared" si="93"/>
        <v>321939</v>
      </c>
      <c r="D435" s="86">
        <f t="shared" si="92"/>
        <v>0</v>
      </c>
      <c r="E435" s="97"/>
      <c r="F435" s="97"/>
      <c r="G435" s="97"/>
      <c r="H435" s="97"/>
      <c r="I435" s="97"/>
      <c r="J435" s="86"/>
      <c r="K435" s="97"/>
      <c r="L435" s="97"/>
      <c r="M435" s="97"/>
      <c r="N435" s="86"/>
      <c r="O435" s="97"/>
      <c r="P435" s="97"/>
      <c r="Q435" s="97"/>
      <c r="R435" s="97"/>
      <c r="S435" s="97"/>
      <c r="T435" s="97"/>
      <c r="U435" s="97"/>
      <c r="V435" s="86"/>
      <c r="W435" s="97">
        <f>111847+111847+98245</f>
        <v>321939</v>
      </c>
      <c r="X435" s="97"/>
      <c r="Y435" s="14"/>
      <c r="Z435" s="12"/>
      <c r="AA435" s="12"/>
      <c r="AB435" s="12"/>
      <c r="AC435" s="12"/>
    </row>
    <row r="436" spans="1:29" ht="20.25" customHeight="1">
      <c r="A436" s="10">
        <f t="shared" si="94"/>
        <v>336</v>
      </c>
      <c r="B436" s="13" t="s">
        <v>338</v>
      </c>
      <c r="C436" s="97">
        <f t="shared" si="93"/>
        <v>616016</v>
      </c>
      <c r="D436" s="86">
        <f t="shared" si="92"/>
        <v>0</v>
      </c>
      <c r="E436" s="97"/>
      <c r="F436" s="97"/>
      <c r="G436" s="97"/>
      <c r="H436" s="97"/>
      <c r="I436" s="97"/>
      <c r="J436" s="86"/>
      <c r="K436" s="97"/>
      <c r="L436" s="97"/>
      <c r="M436" s="97"/>
      <c r="N436" s="86"/>
      <c r="O436" s="97"/>
      <c r="P436" s="97"/>
      <c r="Q436" s="97"/>
      <c r="R436" s="97"/>
      <c r="S436" s="97"/>
      <c r="T436" s="97"/>
      <c r="U436" s="97"/>
      <c r="V436" s="86"/>
      <c r="W436" s="97">
        <f>118629+177176+93955+118629+107627</f>
        <v>616016</v>
      </c>
      <c r="X436" s="97"/>
      <c r="Y436" s="14"/>
      <c r="Z436" s="12"/>
      <c r="AA436" s="12"/>
      <c r="AB436" s="12"/>
      <c r="AC436" s="12"/>
    </row>
    <row r="437" spans="1:29" s="253" customFormat="1" ht="12.75">
      <c r="A437" s="10">
        <f t="shared" si="94"/>
        <v>337</v>
      </c>
      <c r="B437" s="89" t="s">
        <v>755</v>
      </c>
      <c r="C437" s="97">
        <f>D437+K437+M437+O437+Q437+S437+U437+V437+W437+X437</f>
        <v>14206108</v>
      </c>
      <c r="D437" s="86">
        <f>E437+F437+G437+H437+I437</f>
        <v>8192412</v>
      </c>
      <c r="E437" s="249">
        <v>814349</v>
      </c>
      <c r="F437" s="249">
        <v>5408040</v>
      </c>
      <c r="G437" s="249">
        <v>801400</v>
      </c>
      <c r="H437" s="249">
        <v>1168623</v>
      </c>
      <c r="I437" s="97"/>
      <c r="J437" s="97"/>
      <c r="K437" s="97"/>
      <c r="L437" s="97"/>
      <c r="M437" s="97"/>
      <c r="N437" s="97"/>
      <c r="O437" s="97"/>
      <c r="P437" s="97">
        <v>737</v>
      </c>
      <c r="Q437" s="246">
        <v>4898722</v>
      </c>
      <c r="R437" s="97"/>
      <c r="S437" s="97"/>
      <c r="T437" s="97"/>
      <c r="U437" s="97"/>
      <c r="V437" s="249">
        <v>1114974</v>
      </c>
      <c r="W437" s="97"/>
      <c r="X437" s="255"/>
      <c r="Y437" s="251"/>
      <c r="Z437" s="256"/>
      <c r="AA437" s="252"/>
      <c r="AB437" s="12"/>
      <c r="AC437" s="12"/>
    </row>
    <row r="438" spans="1:29" ht="22.5" customHeight="1">
      <c r="A438" s="10">
        <f t="shared" si="94"/>
        <v>338</v>
      </c>
      <c r="B438" s="13" t="s">
        <v>345</v>
      </c>
      <c r="C438" s="97">
        <f t="shared" si="93"/>
        <v>321406</v>
      </c>
      <c r="D438" s="86">
        <f t="shared" si="92"/>
        <v>0</v>
      </c>
      <c r="E438" s="97"/>
      <c r="F438" s="97"/>
      <c r="G438" s="97"/>
      <c r="H438" s="97"/>
      <c r="I438" s="97"/>
      <c r="J438" s="86"/>
      <c r="K438" s="97"/>
      <c r="L438" s="97"/>
      <c r="M438" s="97"/>
      <c r="N438" s="86"/>
      <c r="O438" s="97"/>
      <c r="P438" s="97"/>
      <c r="Q438" s="97"/>
      <c r="R438" s="97"/>
      <c r="S438" s="97"/>
      <c r="T438" s="97"/>
      <c r="U438" s="97"/>
      <c r="V438" s="86"/>
      <c r="W438" s="97">
        <f>111647+111647+98112</f>
        <v>321406</v>
      </c>
      <c r="X438" s="97"/>
      <c r="Y438" s="14"/>
      <c r="Z438" s="12"/>
      <c r="AA438" s="12"/>
      <c r="AB438" s="12"/>
      <c r="AC438" s="12"/>
    </row>
    <row r="439" spans="1:29" ht="15.75" customHeight="1">
      <c r="A439" s="10">
        <f t="shared" si="94"/>
        <v>339</v>
      </c>
      <c r="B439" s="13" t="s">
        <v>336</v>
      </c>
      <c r="C439" s="97">
        <f t="shared" si="93"/>
        <v>2457033</v>
      </c>
      <c r="D439" s="86">
        <f t="shared" si="92"/>
        <v>0</v>
      </c>
      <c r="E439" s="97"/>
      <c r="F439" s="97"/>
      <c r="G439" s="97"/>
      <c r="H439" s="97"/>
      <c r="I439" s="97"/>
      <c r="J439" s="86"/>
      <c r="K439" s="97"/>
      <c r="L439" s="97">
        <v>613</v>
      </c>
      <c r="M439" s="86">
        <v>2364330</v>
      </c>
      <c r="N439" s="86"/>
      <c r="O439" s="97"/>
      <c r="P439" s="97"/>
      <c r="Q439" s="97"/>
      <c r="R439" s="97"/>
      <c r="S439" s="97"/>
      <c r="T439" s="97"/>
      <c r="U439" s="97"/>
      <c r="V439" s="86"/>
      <c r="W439" s="97">
        <v>92703</v>
      </c>
      <c r="X439" s="97"/>
      <c r="Y439" s="14"/>
      <c r="Z439" s="12"/>
      <c r="AA439" s="12"/>
      <c r="AB439" s="12"/>
      <c r="AC439" s="12"/>
    </row>
    <row r="440" spans="1:29" ht="15.75" customHeight="1">
      <c r="A440" s="10">
        <f t="shared" si="94"/>
        <v>340</v>
      </c>
      <c r="B440" s="13" t="s">
        <v>337</v>
      </c>
      <c r="C440" s="97">
        <f t="shared" si="93"/>
        <v>2920334</v>
      </c>
      <c r="D440" s="86">
        <f t="shared" si="92"/>
        <v>0</v>
      </c>
      <c r="E440" s="97"/>
      <c r="F440" s="97"/>
      <c r="G440" s="97"/>
      <c r="H440" s="97"/>
      <c r="I440" s="97"/>
      <c r="J440" s="86"/>
      <c r="K440" s="97"/>
      <c r="L440" s="97">
        <v>723</v>
      </c>
      <c r="M440" s="86">
        <v>2920334</v>
      </c>
      <c r="N440" s="86"/>
      <c r="O440" s="97"/>
      <c r="P440" s="97"/>
      <c r="Q440" s="97"/>
      <c r="R440" s="97"/>
      <c r="S440" s="97"/>
      <c r="T440" s="97"/>
      <c r="U440" s="97"/>
      <c r="V440" s="86"/>
      <c r="W440" s="97"/>
      <c r="X440" s="97"/>
      <c r="Y440" s="14"/>
      <c r="Z440" s="12"/>
      <c r="AA440" s="12"/>
      <c r="AB440" s="12"/>
      <c r="AC440" s="12"/>
    </row>
    <row r="441" spans="1:29" ht="15.75" customHeight="1">
      <c r="A441" s="10">
        <f t="shared" si="94"/>
        <v>341</v>
      </c>
      <c r="B441" s="13" t="s">
        <v>347</v>
      </c>
      <c r="C441" s="97">
        <f t="shared" si="93"/>
        <v>4133021</v>
      </c>
      <c r="D441" s="86">
        <f t="shared" si="92"/>
        <v>0</v>
      </c>
      <c r="E441" s="97"/>
      <c r="F441" s="97"/>
      <c r="G441" s="97"/>
      <c r="H441" s="97"/>
      <c r="I441" s="97"/>
      <c r="J441" s="86"/>
      <c r="K441" s="97"/>
      <c r="L441" s="97">
        <v>562</v>
      </c>
      <c r="M441" s="97">
        <v>1822805</v>
      </c>
      <c r="N441" s="86"/>
      <c r="O441" s="97"/>
      <c r="P441" s="97">
        <v>340</v>
      </c>
      <c r="Q441" s="97">
        <v>979298</v>
      </c>
      <c r="R441" s="97"/>
      <c r="S441" s="97"/>
      <c r="T441" s="97">
        <v>250</v>
      </c>
      <c r="U441" s="97">
        <v>1048189</v>
      </c>
      <c r="V441" s="86"/>
      <c r="W441" s="97">
        <v>282729</v>
      </c>
      <c r="X441" s="97"/>
      <c r="Y441" s="14"/>
      <c r="Z441" s="12"/>
      <c r="AA441" s="12"/>
      <c r="AB441" s="12"/>
      <c r="AC441" s="12"/>
    </row>
    <row r="442" spans="1:29" ht="15.75" customHeight="1">
      <c r="A442" s="10">
        <f t="shared" si="94"/>
        <v>342</v>
      </c>
      <c r="B442" s="13" t="s">
        <v>348</v>
      </c>
      <c r="C442" s="97">
        <f t="shared" si="93"/>
        <v>391616</v>
      </c>
      <c r="D442" s="86">
        <f t="shared" si="92"/>
        <v>0</v>
      </c>
      <c r="E442" s="97"/>
      <c r="F442" s="97"/>
      <c r="G442" s="97"/>
      <c r="H442" s="97"/>
      <c r="I442" s="97"/>
      <c r="J442" s="86"/>
      <c r="K442" s="97"/>
      <c r="L442" s="97"/>
      <c r="M442" s="257"/>
      <c r="N442" s="86"/>
      <c r="O442" s="97"/>
      <c r="P442" s="97"/>
      <c r="Q442" s="97"/>
      <c r="R442" s="97"/>
      <c r="S442" s="97"/>
      <c r="T442" s="97"/>
      <c r="U442" s="97"/>
      <c r="V442" s="86"/>
      <c r="W442" s="97">
        <f>265235+126381</f>
        <v>391616</v>
      </c>
      <c r="X442" s="97"/>
      <c r="Y442" s="14"/>
      <c r="Z442" s="12"/>
      <c r="AA442" s="12"/>
      <c r="AB442" s="12"/>
      <c r="AC442" s="12"/>
    </row>
    <row r="443" spans="1:29" ht="17.25" customHeight="1">
      <c r="A443" s="130" t="s">
        <v>597</v>
      </c>
      <c r="B443" s="130"/>
      <c r="C443" s="97">
        <f>SUM(C428:C442)</f>
        <v>27840339</v>
      </c>
      <c r="D443" s="97">
        <f aca="true" t="shared" si="95" ref="D443:X443">SUM(D428:D442)</f>
        <v>8192412</v>
      </c>
      <c r="E443" s="97">
        <f t="shared" si="95"/>
        <v>814349</v>
      </c>
      <c r="F443" s="97">
        <f t="shared" si="95"/>
        <v>5408040</v>
      </c>
      <c r="G443" s="97">
        <f t="shared" si="95"/>
        <v>801400</v>
      </c>
      <c r="H443" s="97">
        <f t="shared" si="95"/>
        <v>1168623</v>
      </c>
      <c r="I443" s="97">
        <f t="shared" si="95"/>
        <v>0</v>
      </c>
      <c r="J443" s="97">
        <f t="shared" si="95"/>
        <v>0</v>
      </c>
      <c r="K443" s="97">
        <f t="shared" si="95"/>
        <v>0</v>
      </c>
      <c r="L443" s="97">
        <f t="shared" si="95"/>
        <v>1898</v>
      </c>
      <c r="M443" s="97">
        <f t="shared" si="95"/>
        <v>7107469</v>
      </c>
      <c r="N443" s="97">
        <f t="shared" si="95"/>
        <v>0</v>
      </c>
      <c r="O443" s="97">
        <f t="shared" si="95"/>
        <v>0</v>
      </c>
      <c r="P443" s="97">
        <f t="shared" si="95"/>
        <v>1077</v>
      </c>
      <c r="Q443" s="97">
        <f t="shared" si="95"/>
        <v>5878020</v>
      </c>
      <c r="R443" s="97">
        <f t="shared" si="95"/>
        <v>0</v>
      </c>
      <c r="S443" s="97">
        <f t="shared" si="95"/>
        <v>0</v>
      </c>
      <c r="T443" s="97">
        <f t="shared" si="95"/>
        <v>250</v>
      </c>
      <c r="U443" s="97">
        <f t="shared" si="95"/>
        <v>1048189</v>
      </c>
      <c r="V443" s="97">
        <f t="shared" si="95"/>
        <v>1114974</v>
      </c>
      <c r="W443" s="97">
        <f t="shared" si="95"/>
        <v>4499275</v>
      </c>
      <c r="X443" s="97">
        <f t="shared" si="95"/>
        <v>0</v>
      </c>
      <c r="Y443" s="14"/>
      <c r="Z443" s="12"/>
      <c r="AA443" s="12"/>
      <c r="AB443" s="12"/>
      <c r="AC443" s="12"/>
    </row>
    <row r="444" spans="1:29" ht="17.25" customHeight="1">
      <c r="A444" s="123" t="s">
        <v>633</v>
      </c>
      <c r="B444" s="123"/>
      <c r="C444" s="123"/>
      <c r="D444" s="127"/>
      <c r="E444" s="127"/>
      <c r="F444" s="127"/>
      <c r="G444" s="127"/>
      <c r="H444" s="127"/>
      <c r="I444" s="127"/>
      <c r="J444" s="127"/>
      <c r="K444" s="127"/>
      <c r="L444" s="127"/>
      <c r="M444" s="127"/>
      <c r="N444" s="127"/>
      <c r="O444" s="127"/>
      <c r="P444" s="127"/>
      <c r="Q444" s="127"/>
      <c r="R444" s="127"/>
      <c r="S444" s="127"/>
      <c r="T444" s="127"/>
      <c r="U444" s="127"/>
      <c r="V444" s="127"/>
      <c r="W444" s="127"/>
      <c r="X444" s="127"/>
      <c r="Y444" s="14"/>
      <c r="Z444" s="12"/>
      <c r="AA444" s="11"/>
      <c r="AB444" s="12"/>
      <c r="AC444" s="12"/>
    </row>
    <row r="445" spans="1:29" ht="16.5" customHeight="1">
      <c r="A445" s="96">
        <f>A442+1</f>
        <v>343</v>
      </c>
      <c r="B445" s="89" t="s">
        <v>351</v>
      </c>
      <c r="C445" s="97">
        <f>D445+K445+M445+O445+Q445+S445+U445+V445+W445+X445</f>
        <v>9479316</v>
      </c>
      <c r="D445" s="86">
        <f>E445+F445+G445+H445+I445</f>
        <v>5534221</v>
      </c>
      <c r="E445" s="86"/>
      <c r="F445" s="86">
        <f>3389360</f>
        <v>3389360</v>
      </c>
      <c r="G445" s="86">
        <f>529678</f>
        <v>529678</v>
      </c>
      <c r="H445" s="86">
        <f>1299869</f>
        <v>1299869</v>
      </c>
      <c r="I445" s="86">
        <f>315314</f>
        <v>315314</v>
      </c>
      <c r="J445" s="86"/>
      <c r="K445" s="86"/>
      <c r="L445" s="86"/>
      <c r="M445" s="86"/>
      <c r="N445" s="86"/>
      <c r="O445" s="86"/>
      <c r="P445" s="86">
        <v>3860</v>
      </c>
      <c r="Q445" s="86">
        <f>3698271</f>
        <v>3698271</v>
      </c>
      <c r="R445" s="86"/>
      <c r="S445" s="86"/>
      <c r="T445" s="86"/>
      <c r="U445" s="86"/>
      <c r="V445" s="86"/>
      <c r="W445" s="97">
        <v>246824</v>
      </c>
      <c r="X445" s="86"/>
      <c r="Y445" s="14"/>
      <c r="Z445" s="12"/>
      <c r="AA445" s="11"/>
      <c r="AB445" s="12"/>
      <c r="AC445" s="12"/>
    </row>
    <row r="446" spans="1:29" ht="16.5" customHeight="1">
      <c r="A446" s="96">
        <f>A445+1</f>
        <v>344</v>
      </c>
      <c r="B446" s="89" t="s">
        <v>349</v>
      </c>
      <c r="C446" s="97">
        <f>D446+K446+M446+O446+Q446+S446+U446+V446+W446+X446</f>
        <v>7766909</v>
      </c>
      <c r="D446" s="86">
        <f>E446+F446+G446+H446+I446</f>
        <v>6632267</v>
      </c>
      <c r="E446" s="86"/>
      <c r="F446" s="86">
        <f>4325133</f>
        <v>4325133</v>
      </c>
      <c r="G446" s="86">
        <f>631337</f>
        <v>631337</v>
      </c>
      <c r="H446" s="86">
        <v>1386525</v>
      </c>
      <c r="I446" s="86">
        <f>289272</f>
        <v>289272</v>
      </c>
      <c r="J446" s="86"/>
      <c r="K446" s="86"/>
      <c r="L446" s="86"/>
      <c r="M446" s="86"/>
      <c r="N446" s="86"/>
      <c r="O446" s="86"/>
      <c r="P446" s="86">
        <v>287.8</v>
      </c>
      <c r="Q446" s="86">
        <f>863241</f>
        <v>863241</v>
      </c>
      <c r="R446" s="86"/>
      <c r="S446" s="86"/>
      <c r="T446" s="86"/>
      <c r="U446" s="86"/>
      <c r="V446" s="86"/>
      <c r="W446" s="97">
        <v>271401</v>
      </c>
      <c r="X446" s="86"/>
      <c r="Y446" s="14"/>
      <c r="Z446" s="12"/>
      <c r="AA446" s="11"/>
      <c r="AB446" s="12"/>
      <c r="AC446" s="12"/>
    </row>
    <row r="447" spans="1:29" ht="16.5" customHeight="1">
      <c r="A447" s="96">
        <f>A446+1</f>
        <v>345</v>
      </c>
      <c r="B447" s="13" t="s">
        <v>350</v>
      </c>
      <c r="C447" s="97">
        <f>D447+K447+M447+O447+Q447+S447+U447+V447+W447+X447</f>
        <v>13219369</v>
      </c>
      <c r="D447" s="86">
        <f>E447+F447+G447+H447+I447</f>
        <v>7093996</v>
      </c>
      <c r="E447" s="97"/>
      <c r="F447" s="97">
        <f>4545740</f>
        <v>4545740</v>
      </c>
      <c r="G447" s="97">
        <f>874656</f>
        <v>874656</v>
      </c>
      <c r="H447" s="97">
        <f>1299869</f>
        <v>1299869</v>
      </c>
      <c r="I447" s="97">
        <f>373731</f>
        <v>373731</v>
      </c>
      <c r="J447" s="97"/>
      <c r="K447" s="97"/>
      <c r="L447" s="97">
        <v>1214</v>
      </c>
      <c r="M447" s="97">
        <f>1700296</f>
        <v>1700296</v>
      </c>
      <c r="N447" s="97"/>
      <c r="O447" s="97"/>
      <c r="P447" s="97">
        <v>3405</v>
      </c>
      <c r="Q447" s="97">
        <f>4195625</f>
        <v>4195625</v>
      </c>
      <c r="R447" s="97"/>
      <c r="S447" s="97"/>
      <c r="T447" s="97"/>
      <c r="U447" s="97"/>
      <c r="V447" s="97"/>
      <c r="W447" s="86">
        <v>229452</v>
      </c>
      <c r="X447" s="97"/>
      <c r="Y447" s="14"/>
      <c r="Z447" s="12"/>
      <c r="AA447" s="12"/>
      <c r="AB447" s="12"/>
      <c r="AC447" s="12"/>
    </row>
    <row r="448" spans="1:29" ht="16.5" customHeight="1">
      <c r="A448" s="130" t="s">
        <v>597</v>
      </c>
      <c r="B448" s="130"/>
      <c r="C448" s="97">
        <f>SUM(C445:C447)</f>
        <v>30465594</v>
      </c>
      <c r="D448" s="97">
        <f aca="true" t="shared" si="96" ref="D448:X448">SUM(D445:D447)</f>
        <v>19260484</v>
      </c>
      <c r="E448" s="97">
        <f t="shared" si="96"/>
        <v>0</v>
      </c>
      <c r="F448" s="97">
        <f t="shared" si="96"/>
        <v>12260233</v>
      </c>
      <c r="G448" s="97">
        <f t="shared" si="96"/>
        <v>2035671</v>
      </c>
      <c r="H448" s="97">
        <f t="shared" si="96"/>
        <v>3986263</v>
      </c>
      <c r="I448" s="97">
        <f t="shared" si="96"/>
        <v>978317</v>
      </c>
      <c r="J448" s="97">
        <f t="shared" si="96"/>
        <v>0</v>
      </c>
      <c r="K448" s="97">
        <f t="shared" si="96"/>
        <v>0</v>
      </c>
      <c r="L448" s="97">
        <f t="shared" si="96"/>
        <v>1214</v>
      </c>
      <c r="M448" s="97">
        <f t="shared" si="96"/>
        <v>1700296</v>
      </c>
      <c r="N448" s="97">
        <f t="shared" si="96"/>
        <v>0</v>
      </c>
      <c r="O448" s="97">
        <f t="shared" si="96"/>
        <v>0</v>
      </c>
      <c r="P448" s="97">
        <f t="shared" si="96"/>
        <v>7552.8</v>
      </c>
      <c r="Q448" s="97">
        <f t="shared" si="96"/>
        <v>8757137</v>
      </c>
      <c r="R448" s="97">
        <f t="shared" si="96"/>
        <v>0</v>
      </c>
      <c r="S448" s="97">
        <f t="shared" si="96"/>
        <v>0</v>
      </c>
      <c r="T448" s="97">
        <f t="shared" si="96"/>
        <v>0</v>
      </c>
      <c r="U448" s="97">
        <f t="shared" si="96"/>
        <v>0</v>
      </c>
      <c r="V448" s="97">
        <f t="shared" si="96"/>
        <v>0</v>
      </c>
      <c r="W448" s="97">
        <f t="shared" si="96"/>
        <v>747677</v>
      </c>
      <c r="X448" s="97">
        <f t="shared" si="96"/>
        <v>0</v>
      </c>
      <c r="Y448" s="14"/>
      <c r="Z448" s="12"/>
      <c r="AA448" s="12"/>
      <c r="AB448" s="12"/>
      <c r="AC448" s="12"/>
    </row>
    <row r="449" spans="1:29" ht="16.5" customHeight="1">
      <c r="A449" s="123" t="s">
        <v>634</v>
      </c>
      <c r="B449" s="123"/>
      <c r="C449" s="123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7"/>
      <c r="V449" s="127"/>
      <c r="W449" s="127"/>
      <c r="X449" s="127"/>
      <c r="Y449" s="14"/>
      <c r="Z449" s="12"/>
      <c r="AA449" s="11"/>
      <c r="AB449" s="12"/>
      <c r="AC449" s="12"/>
    </row>
    <row r="450" spans="1:29" ht="16.5" customHeight="1">
      <c r="A450" s="96">
        <f>A447+1</f>
        <v>346</v>
      </c>
      <c r="B450" s="13" t="s">
        <v>352</v>
      </c>
      <c r="C450" s="97">
        <f>D450+K450+M450+O450+Q450+S450+U450+V450+W450+X450</f>
        <v>2200227</v>
      </c>
      <c r="D450" s="86">
        <f>E450+F450+G450+H450+I450</f>
        <v>2200227</v>
      </c>
      <c r="E450" s="97"/>
      <c r="F450" s="97">
        <v>2200227</v>
      </c>
      <c r="G450" s="22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14"/>
      <c r="Z450" s="12"/>
      <c r="AA450" s="12"/>
      <c r="AB450" s="12"/>
      <c r="AC450" s="12"/>
    </row>
    <row r="451" spans="1:29" ht="12.75" customHeight="1">
      <c r="A451" s="130" t="s">
        <v>597</v>
      </c>
      <c r="B451" s="130"/>
      <c r="C451" s="97">
        <f aca="true" t="shared" si="97" ref="C451:X451">SUM(C450:C450)</f>
        <v>2200227</v>
      </c>
      <c r="D451" s="97">
        <f t="shared" si="97"/>
        <v>2200227</v>
      </c>
      <c r="E451" s="97">
        <f t="shared" si="97"/>
        <v>0</v>
      </c>
      <c r="F451" s="97">
        <f t="shared" si="97"/>
        <v>2200227</v>
      </c>
      <c r="G451" s="97">
        <f t="shared" si="97"/>
        <v>0</v>
      </c>
      <c r="H451" s="97">
        <f t="shared" si="97"/>
        <v>0</v>
      </c>
      <c r="I451" s="97">
        <f t="shared" si="97"/>
        <v>0</v>
      </c>
      <c r="J451" s="97">
        <f t="shared" si="97"/>
        <v>0</v>
      </c>
      <c r="K451" s="97">
        <f t="shared" si="97"/>
        <v>0</v>
      </c>
      <c r="L451" s="97">
        <f t="shared" si="97"/>
        <v>0</v>
      </c>
      <c r="M451" s="97">
        <f t="shared" si="97"/>
        <v>0</v>
      </c>
      <c r="N451" s="97">
        <f t="shared" si="97"/>
        <v>0</v>
      </c>
      <c r="O451" s="97">
        <f t="shared" si="97"/>
        <v>0</v>
      </c>
      <c r="P451" s="97">
        <f t="shared" si="97"/>
        <v>0</v>
      </c>
      <c r="Q451" s="97">
        <f t="shared" si="97"/>
        <v>0</v>
      </c>
      <c r="R451" s="97">
        <f t="shared" si="97"/>
        <v>0</v>
      </c>
      <c r="S451" s="97">
        <f t="shared" si="97"/>
        <v>0</v>
      </c>
      <c r="T451" s="97">
        <f t="shared" si="97"/>
        <v>0</v>
      </c>
      <c r="U451" s="97">
        <f t="shared" si="97"/>
        <v>0</v>
      </c>
      <c r="V451" s="97">
        <f t="shared" si="97"/>
        <v>0</v>
      </c>
      <c r="W451" s="97">
        <f t="shared" si="97"/>
        <v>0</v>
      </c>
      <c r="X451" s="97">
        <f t="shared" si="97"/>
        <v>0</v>
      </c>
      <c r="Y451" s="14"/>
      <c r="Z451" s="12"/>
      <c r="AA451" s="12"/>
      <c r="AB451" s="12"/>
      <c r="AC451" s="12"/>
    </row>
    <row r="452" spans="1:29" ht="12.75" customHeight="1">
      <c r="A452" s="132" t="s">
        <v>636</v>
      </c>
      <c r="B452" s="132"/>
      <c r="C452" s="132"/>
      <c r="D452" s="127"/>
      <c r="E452" s="127"/>
      <c r="F452" s="127"/>
      <c r="G452" s="127"/>
      <c r="H452" s="127"/>
      <c r="I452" s="127"/>
      <c r="J452" s="127"/>
      <c r="K452" s="127"/>
      <c r="L452" s="127"/>
      <c r="M452" s="127"/>
      <c r="N452" s="127"/>
      <c r="O452" s="127"/>
      <c r="P452" s="127"/>
      <c r="Q452" s="127"/>
      <c r="R452" s="127"/>
      <c r="S452" s="127"/>
      <c r="T452" s="127"/>
      <c r="U452" s="127"/>
      <c r="V452" s="127"/>
      <c r="W452" s="127"/>
      <c r="X452" s="127"/>
      <c r="Y452" s="14"/>
      <c r="Z452" s="12"/>
      <c r="AA452" s="11"/>
      <c r="AB452" s="12"/>
      <c r="AC452" s="12"/>
    </row>
    <row r="453" spans="1:29" ht="12.75" customHeight="1">
      <c r="A453" s="10">
        <f>A450+1</f>
        <v>347</v>
      </c>
      <c r="B453" s="13" t="s">
        <v>353</v>
      </c>
      <c r="C453" s="97">
        <f>D453+K453+M453+O453+Q453+S453+U453+V453+W453+X453</f>
        <v>576317</v>
      </c>
      <c r="D453" s="86">
        <f>E453+F453+G453+H453+I453</f>
        <v>0</v>
      </c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>
        <v>576317</v>
      </c>
      <c r="X453" s="97"/>
      <c r="Y453" s="14"/>
      <c r="Z453" s="12"/>
      <c r="AA453" s="11"/>
      <c r="AB453" s="12"/>
      <c r="AC453" s="12"/>
    </row>
    <row r="454" spans="1:29" ht="12.75" customHeight="1">
      <c r="A454" s="10">
        <f>A453+1</f>
        <v>348</v>
      </c>
      <c r="B454" s="13" t="s">
        <v>354</v>
      </c>
      <c r="C454" s="97">
        <f>D454+K454+M454+O454+Q454+S454+U454+V454+W454+X454</f>
        <v>576317</v>
      </c>
      <c r="D454" s="86">
        <f>E454+F454+G454+H454+I454</f>
        <v>0</v>
      </c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>
        <v>576317</v>
      </c>
      <c r="X454" s="97"/>
      <c r="Y454" s="14"/>
      <c r="Z454" s="12"/>
      <c r="AA454" s="11"/>
      <c r="AB454" s="12"/>
      <c r="AC454" s="12"/>
    </row>
    <row r="455" spans="1:29" ht="12.75" customHeight="1">
      <c r="A455" s="10">
        <f>A454+1</f>
        <v>349</v>
      </c>
      <c r="B455" s="13" t="s">
        <v>355</v>
      </c>
      <c r="C455" s="97">
        <f>D455+K455+M455+O455+Q455+S455+U455+V455+W455+X455</f>
        <v>576317</v>
      </c>
      <c r="D455" s="86">
        <f>E455+F455+G455+H455+I455</f>
        <v>0</v>
      </c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>
        <v>576317</v>
      </c>
      <c r="X455" s="97"/>
      <c r="Y455" s="14"/>
      <c r="Z455" s="12"/>
      <c r="AA455" s="11"/>
      <c r="AB455" s="12"/>
      <c r="AC455" s="12"/>
    </row>
    <row r="456" spans="1:29" s="253" customFormat="1" ht="12.75">
      <c r="A456" s="10">
        <f>A455+1</f>
        <v>350</v>
      </c>
      <c r="B456" s="82" t="s">
        <v>756</v>
      </c>
      <c r="C456" s="97">
        <f>D456+K456+M456+O456+Q456+S456+U456+V456+W456+X456</f>
        <v>1935325</v>
      </c>
      <c r="D456" s="97">
        <f>E456+F456+G456+H456+I456</f>
        <v>0</v>
      </c>
      <c r="E456" s="97"/>
      <c r="F456" s="97"/>
      <c r="G456" s="97"/>
      <c r="H456" s="97"/>
      <c r="I456" s="97"/>
      <c r="J456" s="97"/>
      <c r="K456" s="97"/>
      <c r="L456" s="97">
        <v>1124</v>
      </c>
      <c r="M456" s="97">
        <v>1680428</v>
      </c>
      <c r="N456" s="97"/>
      <c r="O456" s="97"/>
      <c r="P456" s="97"/>
      <c r="Q456" s="97"/>
      <c r="R456" s="97"/>
      <c r="S456" s="97"/>
      <c r="T456" s="97"/>
      <c r="U456" s="97"/>
      <c r="V456" s="249"/>
      <c r="W456" s="97">
        <v>254897</v>
      </c>
      <c r="X456" s="250"/>
      <c r="Y456" s="251"/>
      <c r="Z456" s="252"/>
      <c r="AA456" s="252"/>
      <c r="AB456" s="12"/>
      <c r="AC456" s="12"/>
    </row>
    <row r="457" spans="1:29" s="253" customFormat="1" ht="12.75">
      <c r="A457" s="10">
        <f>A456+1</f>
        <v>351</v>
      </c>
      <c r="B457" s="82" t="s">
        <v>789</v>
      </c>
      <c r="C457" s="97">
        <f>D457+K457+M457+O457+Q457+S457+U457+V457+W457+X457</f>
        <v>254897</v>
      </c>
      <c r="D457" s="86">
        <f>E457+F457+G457+H457+I457</f>
        <v>0</v>
      </c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249"/>
      <c r="W457" s="97">
        <v>254897</v>
      </c>
      <c r="X457" s="250"/>
      <c r="Y457" s="251"/>
      <c r="Z457" s="252"/>
      <c r="AA457" s="252"/>
      <c r="AB457" s="12"/>
      <c r="AC457" s="12"/>
    </row>
    <row r="458" spans="1:29" ht="12.75" customHeight="1">
      <c r="A458" s="130" t="s">
        <v>597</v>
      </c>
      <c r="B458" s="130"/>
      <c r="C458" s="97">
        <f>SUM(C453:C457)</f>
        <v>3919173</v>
      </c>
      <c r="D458" s="97">
        <f aca="true" t="shared" si="98" ref="D458:X458">SUM(D453:D457)</f>
        <v>0</v>
      </c>
      <c r="E458" s="97">
        <f t="shared" si="98"/>
        <v>0</v>
      </c>
      <c r="F458" s="97">
        <f t="shared" si="98"/>
        <v>0</v>
      </c>
      <c r="G458" s="97">
        <f t="shared" si="98"/>
        <v>0</v>
      </c>
      <c r="H458" s="97">
        <f t="shared" si="98"/>
        <v>0</v>
      </c>
      <c r="I458" s="97">
        <f t="shared" si="98"/>
        <v>0</v>
      </c>
      <c r="J458" s="97">
        <f t="shared" si="98"/>
        <v>0</v>
      </c>
      <c r="K458" s="97">
        <f t="shared" si="98"/>
        <v>0</v>
      </c>
      <c r="L458" s="97">
        <f t="shared" si="98"/>
        <v>1124</v>
      </c>
      <c r="M458" s="97">
        <f t="shared" si="98"/>
        <v>1680428</v>
      </c>
      <c r="N458" s="97">
        <f t="shared" si="98"/>
        <v>0</v>
      </c>
      <c r="O458" s="97">
        <f t="shared" si="98"/>
        <v>0</v>
      </c>
      <c r="P458" s="97">
        <f t="shared" si="98"/>
        <v>0</v>
      </c>
      <c r="Q458" s="97">
        <f t="shared" si="98"/>
        <v>0</v>
      </c>
      <c r="R458" s="97">
        <f t="shared" si="98"/>
        <v>0</v>
      </c>
      <c r="S458" s="97">
        <f t="shared" si="98"/>
        <v>0</v>
      </c>
      <c r="T458" s="97">
        <f t="shared" si="98"/>
        <v>0</v>
      </c>
      <c r="U458" s="97">
        <f t="shared" si="98"/>
        <v>0</v>
      </c>
      <c r="V458" s="97">
        <f t="shared" si="98"/>
        <v>0</v>
      </c>
      <c r="W458" s="97">
        <f>SUM(W453:W457)</f>
        <v>2238745</v>
      </c>
      <c r="X458" s="97">
        <f t="shared" si="98"/>
        <v>0</v>
      </c>
      <c r="Y458" s="14"/>
      <c r="Z458" s="12"/>
      <c r="AA458" s="12"/>
      <c r="AB458" s="12"/>
      <c r="AC458" s="12"/>
    </row>
    <row r="459" spans="1:29" ht="12.75" customHeight="1">
      <c r="A459" s="132" t="s">
        <v>635</v>
      </c>
      <c r="B459" s="132"/>
      <c r="C459" s="132"/>
      <c r="D459" s="127"/>
      <c r="E459" s="127"/>
      <c r="F459" s="127"/>
      <c r="G459" s="127"/>
      <c r="H459" s="127"/>
      <c r="I459" s="127"/>
      <c r="J459" s="127"/>
      <c r="K459" s="127"/>
      <c r="L459" s="127"/>
      <c r="M459" s="127"/>
      <c r="N459" s="127"/>
      <c r="O459" s="127"/>
      <c r="P459" s="127"/>
      <c r="Q459" s="127"/>
      <c r="R459" s="127"/>
      <c r="S459" s="127"/>
      <c r="T459" s="127"/>
      <c r="U459" s="127"/>
      <c r="V459" s="127"/>
      <c r="W459" s="127"/>
      <c r="X459" s="127"/>
      <c r="Y459" s="14"/>
      <c r="Z459" s="12"/>
      <c r="AA459" s="11"/>
      <c r="AB459" s="12"/>
      <c r="AC459" s="12"/>
    </row>
    <row r="460" spans="1:29" ht="12.75" customHeight="1">
      <c r="A460" s="10">
        <f>A457+1</f>
        <v>352</v>
      </c>
      <c r="B460" s="13" t="s">
        <v>356</v>
      </c>
      <c r="C460" s="97">
        <f aca="true" t="shared" si="99" ref="C460:C465">D460+K460+M460+O460+Q460+S460+U460+V460+W460+X460</f>
        <v>891742</v>
      </c>
      <c r="D460" s="86">
        <f aca="true" t="shared" si="100" ref="D460:D465">E460+F460+G460+H460+I460</f>
        <v>0</v>
      </c>
      <c r="E460" s="97"/>
      <c r="F460" s="97"/>
      <c r="G460" s="97"/>
      <c r="H460" s="97"/>
      <c r="I460" s="97"/>
      <c r="J460" s="96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>
        <v>891742</v>
      </c>
      <c r="X460" s="97"/>
      <c r="Y460" s="14"/>
      <c r="Z460" s="12"/>
      <c r="AA460" s="11"/>
      <c r="AB460" s="12"/>
      <c r="AC460" s="12"/>
    </row>
    <row r="461" spans="1:29" ht="12.75" customHeight="1">
      <c r="A461" s="10">
        <f>A460+1</f>
        <v>353</v>
      </c>
      <c r="B461" s="13" t="s">
        <v>357</v>
      </c>
      <c r="C461" s="97">
        <f t="shared" si="99"/>
        <v>222936</v>
      </c>
      <c r="D461" s="86">
        <f t="shared" si="100"/>
        <v>0</v>
      </c>
      <c r="E461" s="97"/>
      <c r="F461" s="97"/>
      <c r="G461" s="97"/>
      <c r="H461" s="97"/>
      <c r="I461" s="97"/>
      <c r="J461" s="96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>
        <v>222936</v>
      </c>
      <c r="X461" s="97"/>
      <c r="Y461" s="14"/>
      <c r="Z461" s="12"/>
      <c r="AA461" s="11"/>
      <c r="AB461" s="12"/>
      <c r="AC461" s="12"/>
    </row>
    <row r="462" spans="1:29" ht="12.75" customHeight="1">
      <c r="A462" s="10">
        <f>A461+1</f>
        <v>354</v>
      </c>
      <c r="B462" s="13" t="s">
        <v>358</v>
      </c>
      <c r="C462" s="97">
        <f t="shared" si="99"/>
        <v>249939</v>
      </c>
      <c r="D462" s="86">
        <f t="shared" si="100"/>
        <v>0</v>
      </c>
      <c r="E462" s="97"/>
      <c r="F462" s="97"/>
      <c r="G462" s="97"/>
      <c r="H462" s="97"/>
      <c r="I462" s="97"/>
      <c r="J462" s="96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>
        <v>249939</v>
      </c>
      <c r="X462" s="97"/>
      <c r="Y462" s="14"/>
      <c r="Z462" s="12"/>
      <c r="AA462" s="11"/>
      <c r="AB462" s="12"/>
      <c r="AC462" s="12"/>
    </row>
    <row r="463" spans="1:29" ht="12.75" customHeight="1">
      <c r="A463" s="10">
        <f>A462+1</f>
        <v>355</v>
      </c>
      <c r="B463" s="13" t="s">
        <v>359</v>
      </c>
      <c r="C463" s="97">
        <f t="shared" si="99"/>
        <v>249939</v>
      </c>
      <c r="D463" s="86">
        <f t="shared" si="100"/>
        <v>0</v>
      </c>
      <c r="E463" s="97"/>
      <c r="F463" s="97"/>
      <c r="G463" s="97"/>
      <c r="H463" s="97"/>
      <c r="I463" s="97"/>
      <c r="J463" s="96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>
        <v>249939</v>
      </c>
      <c r="X463" s="97"/>
      <c r="Y463" s="14"/>
      <c r="Z463" s="12"/>
      <c r="AA463" s="11"/>
      <c r="AB463" s="12"/>
      <c r="AC463" s="12"/>
    </row>
    <row r="464" spans="1:29" ht="12.75" customHeight="1">
      <c r="A464" s="10">
        <f>A463+1</f>
        <v>356</v>
      </c>
      <c r="B464" s="13" t="s">
        <v>360</v>
      </c>
      <c r="C464" s="97">
        <f>D464+K464+M464+O464+Q464+S464+U464+V464+W464+X464</f>
        <v>249939</v>
      </c>
      <c r="D464" s="86">
        <f t="shared" si="100"/>
        <v>0</v>
      </c>
      <c r="E464" s="97"/>
      <c r="F464" s="97"/>
      <c r="G464" s="97"/>
      <c r="H464" s="97"/>
      <c r="I464" s="97"/>
      <c r="J464" s="96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>
        <v>249939</v>
      </c>
      <c r="X464" s="97"/>
      <c r="Y464" s="14"/>
      <c r="Z464" s="12"/>
      <c r="AA464" s="11"/>
      <c r="AB464" s="12"/>
      <c r="AC464" s="12"/>
    </row>
    <row r="465" spans="1:29" ht="12.75" customHeight="1">
      <c r="A465" s="10">
        <f>A464+1</f>
        <v>357</v>
      </c>
      <c r="B465" s="13" t="s">
        <v>361</v>
      </c>
      <c r="C465" s="97">
        <f t="shared" si="99"/>
        <v>1249695</v>
      </c>
      <c r="D465" s="86">
        <f t="shared" si="100"/>
        <v>0</v>
      </c>
      <c r="E465" s="97"/>
      <c r="F465" s="97"/>
      <c r="G465" s="97"/>
      <c r="H465" s="97"/>
      <c r="I465" s="97"/>
      <c r="J465" s="96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>
        <v>1249695</v>
      </c>
      <c r="X465" s="97"/>
      <c r="Y465" s="14"/>
      <c r="Z465" s="12"/>
      <c r="AA465" s="11"/>
      <c r="AB465" s="12"/>
      <c r="AC465" s="12"/>
    </row>
    <row r="466" spans="1:29" ht="12.75" customHeight="1">
      <c r="A466" s="130" t="s">
        <v>597</v>
      </c>
      <c r="B466" s="130"/>
      <c r="C466" s="97">
        <f>SUM(C460:C465)</f>
        <v>3114190</v>
      </c>
      <c r="D466" s="97">
        <f aca="true" t="shared" si="101" ref="D466:X466">SUM(D460:D465)</f>
        <v>0</v>
      </c>
      <c r="E466" s="97">
        <f t="shared" si="101"/>
        <v>0</v>
      </c>
      <c r="F466" s="97">
        <f t="shared" si="101"/>
        <v>0</v>
      </c>
      <c r="G466" s="97">
        <f t="shared" si="101"/>
        <v>0</v>
      </c>
      <c r="H466" s="97">
        <f t="shared" si="101"/>
        <v>0</v>
      </c>
      <c r="I466" s="97">
        <f t="shared" si="101"/>
        <v>0</v>
      </c>
      <c r="J466" s="97">
        <f t="shared" si="101"/>
        <v>0</v>
      </c>
      <c r="K466" s="97">
        <f t="shared" si="101"/>
        <v>0</v>
      </c>
      <c r="L466" s="97">
        <f t="shared" si="101"/>
        <v>0</v>
      </c>
      <c r="M466" s="97">
        <f t="shared" si="101"/>
        <v>0</v>
      </c>
      <c r="N466" s="97">
        <f t="shared" si="101"/>
        <v>0</v>
      </c>
      <c r="O466" s="97">
        <f t="shared" si="101"/>
        <v>0</v>
      </c>
      <c r="P466" s="97">
        <f t="shared" si="101"/>
        <v>0</v>
      </c>
      <c r="Q466" s="97">
        <f t="shared" si="101"/>
        <v>0</v>
      </c>
      <c r="R466" s="97">
        <f t="shared" si="101"/>
        <v>0</v>
      </c>
      <c r="S466" s="97">
        <f t="shared" si="101"/>
        <v>0</v>
      </c>
      <c r="T466" s="97">
        <f t="shared" si="101"/>
        <v>0</v>
      </c>
      <c r="U466" s="97">
        <f t="shared" si="101"/>
        <v>0</v>
      </c>
      <c r="V466" s="97">
        <f t="shared" si="101"/>
        <v>0</v>
      </c>
      <c r="W466" s="97">
        <f t="shared" si="101"/>
        <v>3114190</v>
      </c>
      <c r="X466" s="97">
        <f t="shared" si="101"/>
        <v>0</v>
      </c>
      <c r="Y466" s="14"/>
      <c r="Z466" s="12"/>
      <c r="AA466" s="12"/>
      <c r="AB466" s="12"/>
      <c r="AC466" s="12"/>
    </row>
    <row r="467" spans="1:29" ht="12.75" customHeight="1">
      <c r="A467" s="123" t="s">
        <v>686</v>
      </c>
      <c r="B467" s="123"/>
      <c r="C467" s="123"/>
      <c r="D467" s="127"/>
      <c r="E467" s="127"/>
      <c r="F467" s="127"/>
      <c r="G467" s="127"/>
      <c r="H467" s="127"/>
      <c r="I467" s="127"/>
      <c r="J467" s="127"/>
      <c r="K467" s="127"/>
      <c r="L467" s="127"/>
      <c r="M467" s="127"/>
      <c r="N467" s="127"/>
      <c r="O467" s="127"/>
      <c r="P467" s="127"/>
      <c r="Q467" s="127"/>
      <c r="R467" s="127"/>
      <c r="S467" s="127"/>
      <c r="T467" s="127"/>
      <c r="U467" s="127"/>
      <c r="V467" s="127"/>
      <c r="W467" s="127"/>
      <c r="X467" s="127"/>
      <c r="Y467" s="14"/>
      <c r="Z467" s="12"/>
      <c r="AA467" s="11"/>
      <c r="AB467" s="12"/>
      <c r="AC467" s="12"/>
    </row>
    <row r="468" spans="1:29" s="253" customFormat="1" ht="12.75" customHeight="1">
      <c r="A468" s="96">
        <f>A465+1</f>
        <v>358</v>
      </c>
      <c r="B468" s="82" t="s">
        <v>362</v>
      </c>
      <c r="C468" s="97">
        <f aca="true" t="shared" si="102" ref="C468:C489">D468+K468+M468+O468+Q468+S468+U468+V468+W468+X468</f>
        <v>3008519</v>
      </c>
      <c r="D468" s="86">
        <f>E468+F468+G468+H468+I468</f>
        <v>2443859</v>
      </c>
      <c r="E468" s="249">
        <v>2443859</v>
      </c>
      <c r="F468" s="249"/>
      <c r="G468" s="249"/>
      <c r="H468" s="97"/>
      <c r="I468" s="249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249">
        <v>564660</v>
      </c>
      <c r="W468" s="189"/>
      <c r="X468" s="97"/>
      <c r="Y468" s="251"/>
      <c r="Z468" s="258"/>
      <c r="AA468" s="251"/>
      <c r="AB468" s="12"/>
      <c r="AC468" s="12"/>
    </row>
    <row r="469" spans="1:29" s="253" customFormat="1" ht="12.75" customHeight="1">
      <c r="A469" s="96">
        <f>A468+1</f>
        <v>359</v>
      </c>
      <c r="B469" s="82" t="s">
        <v>363</v>
      </c>
      <c r="C469" s="97">
        <f t="shared" si="102"/>
        <v>3103420</v>
      </c>
      <c r="D469" s="86">
        <f>E469+F469+G469+H469+I469</f>
        <v>2544467</v>
      </c>
      <c r="E469" s="249">
        <v>2544467</v>
      </c>
      <c r="F469" s="249"/>
      <c r="G469" s="249"/>
      <c r="H469" s="97"/>
      <c r="I469" s="249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249">
        <v>558953</v>
      </c>
      <c r="W469" s="97"/>
      <c r="X469" s="250"/>
      <c r="Y469" s="251"/>
      <c r="Z469" s="258"/>
      <c r="AA469" s="251"/>
      <c r="AB469" s="12"/>
      <c r="AC469" s="12"/>
    </row>
    <row r="470" spans="1:29" s="253" customFormat="1" ht="12.75" customHeight="1">
      <c r="A470" s="96">
        <f aca="true" t="shared" si="103" ref="A470:A489">A469+1</f>
        <v>360</v>
      </c>
      <c r="B470" s="82" t="s">
        <v>381</v>
      </c>
      <c r="C470" s="97">
        <f t="shared" si="102"/>
        <v>1927765</v>
      </c>
      <c r="D470" s="86">
        <f>E470+F470+G470+H470+I470</f>
        <v>1631052</v>
      </c>
      <c r="E470" s="249">
        <v>1631052</v>
      </c>
      <c r="F470" s="249"/>
      <c r="G470" s="249"/>
      <c r="H470" s="97"/>
      <c r="I470" s="249"/>
      <c r="J470" s="96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249">
        <v>296713</v>
      </c>
      <c r="W470" s="97"/>
      <c r="X470" s="250"/>
      <c r="Y470" s="251"/>
      <c r="Z470" s="258"/>
      <c r="AA470" s="251"/>
      <c r="AB470" s="12"/>
      <c r="AC470" s="12"/>
    </row>
    <row r="471" spans="1:29" s="253" customFormat="1" ht="12.75" customHeight="1">
      <c r="A471" s="96">
        <f t="shared" si="103"/>
        <v>361</v>
      </c>
      <c r="B471" s="82" t="s">
        <v>757</v>
      </c>
      <c r="C471" s="97">
        <f t="shared" si="102"/>
        <v>3530178</v>
      </c>
      <c r="D471" s="86">
        <f>E471+F471+G471+H471+I471</f>
        <v>2972255</v>
      </c>
      <c r="E471" s="249">
        <v>2972255</v>
      </c>
      <c r="F471" s="249"/>
      <c r="G471" s="249"/>
      <c r="H471" s="97"/>
      <c r="I471" s="249"/>
      <c r="J471" s="96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249">
        <v>557923</v>
      </c>
      <c r="W471" s="97"/>
      <c r="X471" s="250"/>
      <c r="Y471" s="251"/>
      <c r="Z471" s="258"/>
      <c r="AA471" s="251"/>
      <c r="AB471" s="12"/>
      <c r="AC471" s="12"/>
    </row>
    <row r="472" spans="1:29" ht="46.5" customHeight="1">
      <c r="A472" s="96">
        <f t="shared" si="103"/>
        <v>362</v>
      </c>
      <c r="B472" s="82" t="s">
        <v>382</v>
      </c>
      <c r="C472" s="97">
        <f t="shared" si="102"/>
        <v>1050344</v>
      </c>
      <c r="D472" s="86">
        <f>E472+F472+G472+H472+I472</f>
        <v>0</v>
      </c>
      <c r="E472" s="81"/>
      <c r="F472" s="81"/>
      <c r="G472" s="81"/>
      <c r="H472" s="81"/>
      <c r="I472" s="81"/>
      <c r="J472" s="81"/>
      <c r="K472" s="81"/>
      <c r="L472" s="81"/>
      <c r="M472" s="86"/>
      <c r="N472" s="81"/>
      <c r="O472" s="81"/>
      <c r="P472" s="81"/>
      <c r="Q472" s="81"/>
      <c r="R472" s="81"/>
      <c r="S472" s="81"/>
      <c r="T472" s="81"/>
      <c r="U472" s="81"/>
      <c r="V472" s="81"/>
      <c r="W472" s="97">
        <v>1050344</v>
      </c>
      <c r="X472" s="81"/>
      <c r="Y472" s="46"/>
      <c r="Z472" s="269"/>
      <c r="AA472" s="11"/>
      <c r="AB472" s="12"/>
      <c r="AC472" s="12"/>
    </row>
    <row r="473" spans="1:29" ht="12.75" customHeight="1">
      <c r="A473" s="96">
        <f t="shared" si="103"/>
        <v>363</v>
      </c>
      <c r="B473" s="82" t="s">
        <v>364</v>
      </c>
      <c r="C473" s="97">
        <f t="shared" si="102"/>
        <v>197860</v>
      </c>
      <c r="D473" s="86">
        <f aca="true" t="shared" si="104" ref="D473:D489">E473+F473+G473+H473+I473</f>
        <v>0</v>
      </c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6">
        <v>197860</v>
      </c>
      <c r="X473" s="81"/>
      <c r="Y473" s="14"/>
      <c r="Z473" s="12"/>
      <c r="AA473" s="11"/>
      <c r="AB473" s="12"/>
      <c r="AC473" s="12"/>
    </row>
    <row r="474" spans="1:29" ht="12.75" customHeight="1">
      <c r="A474" s="96">
        <f t="shared" si="103"/>
        <v>364</v>
      </c>
      <c r="B474" s="82" t="s">
        <v>369</v>
      </c>
      <c r="C474" s="97">
        <f t="shared" si="102"/>
        <v>1785584</v>
      </c>
      <c r="D474" s="86">
        <f t="shared" si="104"/>
        <v>1785584</v>
      </c>
      <c r="E474" s="81"/>
      <c r="F474" s="86">
        <v>1176911</v>
      </c>
      <c r="G474" s="86">
        <v>428639</v>
      </c>
      <c r="H474" s="86"/>
      <c r="I474" s="86">
        <v>180034</v>
      </c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6"/>
      <c r="X474" s="81"/>
      <c r="Y474" s="14"/>
      <c r="Z474" s="12"/>
      <c r="AA474" s="14"/>
      <c r="AB474" s="12"/>
      <c r="AC474" s="12"/>
    </row>
    <row r="475" spans="1:29" ht="12.75" customHeight="1">
      <c r="A475" s="96">
        <f t="shared" si="103"/>
        <v>365</v>
      </c>
      <c r="B475" s="82" t="s">
        <v>370</v>
      </c>
      <c r="C475" s="97">
        <f t="shared" si="102"/>
        <v>1826437</v>
      </c>
      <c r="D475" s="86">
        <f t="shared" si="104"/>
        <v>1826437</v>
      </c>
      <c r="E475" s="81"/>
      <c r="F475" s="86">
        <v>1267406</v>
      </c>
      <c r="G475" s="86">
        <v>398085</v>
      </c>
      <c r="H475" s="86"/>
      <c r="I475" s="86">
        <v>160946</v>
      </c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6"/>
      <c r="X475" s="81"/>
      <c r="Y475" s="14"/>
      <c r="Z475" s="12"/>
      <c r="AA475" s="14"/>
      <c r="AB475" s="12"/>
      <c r="AC475" s="12"/>
    </row>
    <row r="476" spans="1:29" ht="12.75" customHeight="1">
      <c r="A476" s="96">
        <f t="shared" si="103"/>
        <v>366</v>
      </c>
      <c r="B476" s="82" t="s">
        <v>371</v>
      </c>
      <c r="C476" s="97">
        <f t="shared" si="102"/>
        <v>1837561</v>
      </c>
      <c r="D476" s="86">
        <f t="shared" si="104"/>
        <v>1837561</v>
      </c>
      <c r="E476" s="81"/>
      <c r="F476" s="86">
        <v>1227278</v>
      </c>
      <c r="G476" s="86">
        <v>422141</v>
      </c>
      <c r="H476" s="86"/>
      <c r="I476" s="86">
        <v>188142</v>
      </c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6"/>
      <c r="X476" s="81"/>
      <c r="Y476" s="14"/>
      <c r="Z476" s="12"/>
      <c r="AA476" s="14"/>
      <c r="AB476" s="12"/>
      <c r="AC476" s="12"/>
    </row>
    <row r="477" spans="1:29" ht="12.75" customHeight="1">
      <c r="A477" s="96">
        <f t="shared" si="103"/>
        <v>367</v>
      </c>
      <c r="B477" s="82" t="s">
        <v>365</v>
      </c>
      <c r="C477" s="97">
        <f t="shared" si="102"/>
        <v>1847440</v>
      </c>
      <c r="D477" s="86">
        <f t="shared" si="104"/>
        <v>1847440</v>
      </c>
      <c r="E477" s="81"/>
      <c r="F477" s="86">
        <v>1250750</v>
      </c>
      <c r="G477" s="86">
        <v>438918</v>
      </c>
      <c r="H477" s="86"/>
      <c r="I477" s="86">
        <v>157772</v>
      </c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6"/>
      <c r="X477" s="81"/>
      <c r="Y477" s="14"/>
      <c r="Z477" s="12"/>
      <c r="AA477" s="14"/>
      <c r="AB477" s="12"/>
      <c r="AC477" s="12"/>
    </row>
    <row r="478" spans="1:29" ht="12.75" customHeight="1">
      <c r="A478" s="96">
        <f t="shared" si="103"/>
        <v>368</v>
      </c>
      <c r="B478" s="82" t="s">
        <v>366</v>
      </c>
      <c r="C478" s="97">
        <f t="shared" si="102"/>
        <v>1851517</v>
      </c>
      <c r="D478" s="86">
        <f t="shared" si="104"/>
        <v>1851517</v>
      </c>
      <c r="E478" s="81"/>
      <c r="F478" s="86">
        <v>1263110</v>
      </c>
      <c r="G478" s="86">
        <v>430635</v>
      </c>
      <c r="H478" s="86"/>
      <c r="I478" s="86">
        <v>157772</v>
      </c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6"/>
      <c r="X478" s="81"/>
      <c r="Y478" s="14"/>
      <c r="Z478" s="12"/>
      <c r="AA478" s="14"/>
      <c r="AB478" s="12"/>
      <c r="AC478" s="12"/>
    </row>
    <row r="479" spans="1:29" ht="12.75" customHeight="1">
      <c r="A479" s="96">
        <f t="shared" si="103"/>
        <v>369</v>
      </c>
      <c r="B479" s="82" t="s">
        <v>367</v>
      </c>
      <c r="C479" s="97">
        <f t="shared" si="102"/>
        <v>92489</v>
      </c>
      <c r="D479" s="86">
        <f t="shared" si="104"/>
        <v>0</v>
      </c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6">
        <v>92489</v>
      </c>
      <c r="X479" s="81"/>
      <c r="Y479" s="14"/>
      <c r="Z479" s="12"/>
      <c r="AA479" s="11"/>
      <c r="AB479" s="12"/>
      <c r="AC479" s="12"/>
    </row>
    <row r="480" spans="1:29" ht="12.75" customHeight="1">
      <c r="A480" s="96">
        <f t="shared" si="103"/>
        <v>370</v>
      </c>
      <c r="B480" s="82" t="s">
        <v>368</v>
      </c>
      <c r="C480" s="97">
        <f t="shared" si="102"/>
        <v>1831841</v>
      </c>
      <c r="D480" s="86">
        <f t="shared" si="104"/>
        <v>1831841</v>
      </c>
      <c r="E480" s="81"/>
      <c r="F480" s="86">
        <v>1203241</v>
      </c>
      <c r="G480" s="86">
        <v>449068</v>
      </c>
      <c r="H480" s="86"/>
      <c r="I480" s="86">
        <v>179532</v>
      </c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6"/>
      <c r="X480" s="81"/>
      <c r="Y480" s="14"/>
      <c r="Z480" s="12"/>
      <c r="AA480" s="14"/>
      <c r="AB480" s="12"/>
      <c r="AC480" s="12"/>
    </row>
    <row r="481" spans="1:29" ht="12.75" customHeight="1">
      <c r="A481" s="96">
        <f t="shared" si="103"/>
        <v>371</v>
      </c>
      <c r="B481" s="82" t="s">
        <v>372</v>
      </c>
      <c r="C481" s="97">
        <f t="shared" si="102"/>
        <v>1989403</v>
      </c>
      <c r="D481" s="86">
        <f t="shared" si="104"/>
        <v>1989403</v>
      </c>
      <c r="E481" s="86"/>
      <c r="F481" s="86">
        <v>1434783</v>
      </c>
      <c r="G481" s="86">
        <v>384776</v>
      </c>
      <c r="H481" s="86"/>
      <c r="I481" s="86">
        <v>169844</v>
      </c>
      <c r="J481" s="86"/>
      <c r="K481" s="86"/>
      <c r="L481" s="86"/>
      <c r="M481" s="86"/>
      <c r="N481" s="86"/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14"/>
      <c r="Z481" s="12"/>
      <c r="AA481" s="14"/>
      <c r="AB481" s="12"/>
      <c r="AC481" s="12"/>
    </row>
    <row r="482" spans="1:29" ht="12.75" customHeight="1">
      <c r="A482" s="96">
        <f t="shared" si="103"/>
        <v>372</v>
      </c>
      <c r="B482" s="82" t="s">
        <v>373</v>
      </c>
      <c r="C482" s="97">
        <f t="shared" si="102"/>
        <v>1703643</v>
      </c>
      <c r="D482" s="86">
        <f t="shared" si="104"/>
        <v>1703643</v>
      </c>
      <c r="E482" s="86"/>
      <c r="F482" s="86">
        <v>1223411</v>
      </c>
      <c r="G482" s="86">
        <v>340994</v>
      </c>
      <c r="H482" s="86"/>
      <c r="I482" s="86">
        <v>139238</v>
      </c>
      <c r="J482" s="86"/>
      <c r="K482" s="86"/>
      <c r="L482" s="86"/>
      <c r="M482" s="86"/>
      <c r="N482" s="86"/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14"/>
      <c r="Z482" s="12"/>
      <c r="AA482" s="14"/>
      <c r="AB482" s="12"/>
      <c r="AC482" s="12"/>
    </row>
    <row r="483" spans="1:29" ht="12.75" customHeight="1">
      <c r="A483" s="96">
        <f t="shared" si="103"/>
        <v>373</v>
      </c>
      <c r="B483" s="82" t="s">
        <v>374</v>
      </c>
      <c r="C483" s="97">
        <f t="shared" si="102"/>
        <v>1693406</v>
      </c>
      <c r="D483" s="86">
        <f t="shared" si="104"/>
        <v>1693406</v>
      </c>
      <c r="E483" s="86"/>
      <c r="F483" s="86">
        <v>1204169</v>
      </c>
      <c r="G483" s="86">
        <v>349998</v>
      </c>
      <c r="H483" s="86"/>
      <c r="I483" s="86">
        <v>139239</v>
      </c>
      <c r="J483" s="86"/>
      <c r="K483" s="86"/>
      <c r="L483" s="86"/>
      <c r="M483" s="86"/>
      <c r="N483" s="86"/>
      <c r="O483" s="86"/>
      <c r="P483" s="86"/>
      <c r="Q483" s="86"/>
      <c r="R483" s="86"/>
      <c r="S483" s="86"/>
      <c r="T483" s="86"/>
      <c r="U483" s="86"/>
      <c r="V483" s="86"/>
      <c r="W483" s="86"/>
      <c r="X483" s="86"/>
      <c r="Y483" s="14"/>
      <c r="Z483" s="12"/>
      <c r="AA483" s="14"/>
      <c r="AB483" s="12"/>
      <c r="AC483" s="12"/>
    </row>
    <row r="484" spans="1:29" ht="12.75" customHeight="1">
      <c r="A484" s="96">
        <f t="shared" si="103"/>
        <v>374</v>
      </c>
      <c r="B484" s="82" t="s">
        <v>376</v>
      </c>
      <c r="C484" s="97">
        <f t="shared" si="102"/>
        <v>12183515</v>
      </c>
      <c r="D484" s="86">
        <f t="shared" si="104"/>
        <v>0</v>
      </c>
      <c r="E484" s="81"/>
      <c r="F484" s="81"/>
      <c r="G484" s="81"/>
      <c r="H484" s="81"/>
      <c r="I484" s="81"/>
      <c r="J484" s="10">
        <v>5</v>
      </c>
      <c r="K484" s="86">
        <v>11068837</v>
      </c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6">
        <v>1114678</v>
      </c>
      <c r="X484" s="81"/>
      <c r="Y484" s="14"/>
      <c r="Z484" s="12"/>
      <c r="AA484" s="11"/>
      <c r="AB484" s="12"/>
      <c r="AC484" s="12"/>
    </row>
    <row r="485" spans="1:29" ht="12.75" customHeight="1">
      <c r="A485" s="96">
        <f t="shared" si="103"/>
        <v>375</v>
      </c>
      <c r="B485" s="82" t="s">
        <v>377</v>
      </c>
      <c r="C485" s="97">
        <f t="shared" si="102"/>
        <v>12183515</v>
      </c>
      <c r="D485" s="86">
        <f t="shared" si="104"/>
        <v>0</v>
      </c>
      <c r="E485" s="81"/>
      <c r="F485" s="81"/>
      <c r="G485" s="81"/>
      <c r="H485" s="81"/>
      <c r="I485" s="81"/>
      <c r="J485" s="10">
        <v>5</v>
      </c>
      <c r="K485" s="86">
        <v>11068837</v>
      </c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6">
        <v>1114678</v>
      </c>
      <c r="X485" s="81"/>
      <c r="Y485" s="14"/>
      <c r="Z485" s="12"/>
      <c r="AA485" s="11"/>
      <c r="AB485" s="12"/>
      <c r="AC485" s="12"/>
    </row>
    <row r="486" spans="1:29" ht="12.75" customHeight="1">
      <c r="A486" s="96">
        <f t="shared" si="103"/>
        <v>376</v>
      </c>
      <c r="B486" s="82" t="s">
        <v>378</v>
      </c>
      <c r="C486" s="97">
        <f t="shared" si="102"/>
        <v>4873406</v>
      </c>
      <c r="D486" s="86">
        <f t="shared" si="104"/>
        <v>0</v>
      </c>
      <c r="E486" s="81"/>
      <c r="F486" s="81"/>
      <c r="G486" s="81"/>
      <c r="H486" s="81"/>
      <c r="I486" s="81"/>
      <c r="J486" s="10">
        <v>2</v>
      </c>
      <c r="K486" s="86">
        <v>4427535</v>
      </c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6">
        <v>445871</v>
      </c>
      <c r="X486" s="81"/>
      <c r="Y486" s="14"/>
      <c r="Z486" s="12"/>
      <c r="AA486" s="11"/>
      <c r="AB486" s="12"/>
      <c r="AC486" s="12"/>
    </row>
    <row r="487" spans="1:29" ht="12.75" customHeight="1">
      <c r="A487" s="96">
        <f t="shared" si="103"/>
        <v>377</v>
      </c>
      <c r="B487" s="82" t="s">
        <v>379</v>
      </c>
      <c r="C487" s="97">
        <f t="shared" si="102"/>
        <v>17056921</v>
      </c>
      <c r="D487" s="86">
        <f t="shared" si="104"/>
        <v>0</v>
      </c>
      <c r="E487" s="81"/>
      <c r="F487" s="81"/>
      <c r="G487" s="81"/>
      <c r="H487" s="81"/>
      <c r="I487" s="81"/>
      <c r="J487" s="10">
        <v>7</v>
      </c>
      <c r="K487" s="86">
        <v>15496372</v>
      </c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6">
        <v>1560549</v>
      </c>
      <c r="X487" s="81"/>
      <c r="Y487" s="14"/>
      <c r="Z487" s="12"/>
      <c r="AA487" s="11"/>
      <c r="AB487" s="12"/>
      <c r="AC487" s="12"/>
    </row>
    <row r="488" spans="1:29" ht="12.75" customHeight="1">
      <c r="A488" s="96">
        <f t="shared" si="103"/>
        <v>378</v>
      </c>
      <c r="B488" s="82" t="s">
        <v>380</v>
      </c>
      <c r="C488" s="97">
        <f t="shared" si="102"/>
        <v>5290671</v>
      </c>
      <c r="D488" s="86">
        <f t="shared" si="104"/>
        <v>0</v>
      </c>
      <c r="E488" s="81"/>
      <c r="F488" s="81"/>
      <c r="G488" s="81"/>
      <c r="H488" s="81"/>
      <c r="I488" s="81"/>
      <c r="J488" s="10">
        <v>2</v>
      </c>
      <c r="K488" s="86">
        <v>4790793</v>
      </c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6">
        <v>499878</v>
      </c>
      <c r="X488" s="81"/>
      <c r="Y488" s="14"/>
      <c r="Z488" s="12"/>
      <c r="AA488" s="11"/>
      <c r="AB488" s="12"/>
      <c r="AC488" s="12"/>
    </row>
    <row r="489" spans="1:29" ht="12.75">
      <c r="A489" s="96">
        <f t="shared" si="103"/>
        <v>379</v>
      </c>
      <c r="B489" s="13" t="s">
        <v>375</v>
      </c>
      <c r="C489" s="97">
        <f t="shared" si="102"/>
        <v>1089412</v>
      </c>
      <c r="D489" s="86">
        <f t="shared" si="104"/>
        <v>1089412</v>
      </c>
      <c r="E489" s="97"/>
      <c r="F489" s="97">
        <v>796311</v>
      </c>
      <c r="G489" s="97">
        <v>191073</v>
      </c>
      <c r="H489" s="97"/>
      <c r="I489" s="97">
        <v>102028</v>
      </c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14"/>
      <c r="Z489" s="12"/>
      <c r="AA489" s="14"/>
      <c r="AB489" s="12"/>
      <c r="AC489" s="12"/>
    </row>
    <row r="490" spans="1:29" ht="12.75" customHeight="1">
      <c r="A490" s="130" t="s">
        <v>597</v>
      </c>
      <c r="B490" s="130"/>
      <c r="C490" s="97">
        <f aca="true" t="shared" si="105" ref="C490:X490">SUM(C468:C489)</f>
        <v>81954847</v>
      </c>
      <c r="D490" s="97">
        <f t="shared" si="105"/>
        <v>27047877</v>
      </c>
      <c r="E490" s="97">
        <f t="shared" si="105"/>
        <v>9591633</v>
      </c>
      <c r="F490" s="97">
        <f t="shared" si="105"/>
        <v>12047370</v>
      </c>
      <c r="G490" s="97">
        <f t="shared" si="105"/>
        <v>3834327</v>
      </c>
      <c r="H490" s="97">
        <f t="shared" si="105"/>
        <v>0</v>
      </c>
      <c r="I490" s="97">
        <f t="shared" si="105"/>
        <v>1574547</v>
      </c>
      <c r="J490" s="97">
        <f t="shared" si="105"/>
        <v>21</v>
      </c>
      <c r="K490" s="97">
        <f t="shared" si="105"/>
        <v>46852374</v>
      </c>
      <c r="L490" s="97">
        <f t="shared" si="105"/>
        <v>0</v>
      </c>
      <c r="M490" s="97">
        <f t="shared" si="105"/>
        <v>0</v>
      </c>
      <c r="N490" s="97">
        <f t="shared" si="105"/>
        <v>0</v>
      </c>
      <c r="O490" s="97">
        <f t="shared" si="105"/>
        <v>0</v>
      </c>
      <c r="P490" s="97">
        <f t="shared" si="105"/>
        <v>0</v>
      </c>
      <c r="Q490" s="97">
        <f t="shared" si="105"/>
        <v>0</v>
      </c>
      <c r="R490" s="97">
        <f t="shared" si="105"/>
        <v>0</v>
      </c>
      <c r="S490" s="97">
        <f t="shared" si="105"/>
        <v>0</v>
      </c>
      <c r="T490" s="97">
        <f t="shared" si="105"/>
        <v>0</v>
      </c>
      <c r="U490" s="97">
        <f t="shared" si="105"/>
        <v>0</v>
      </c>
      <c r="V490" s="97">
        <f t="shared" si="105"/>
        <v>1978249</v>
      </c>
      <c r="W490" s="97">
        <f t="shared" si="105"/>
        <v>6076347</v>
      </c>
      <c r="X490" s="97">
        <f t="shared" si="105"/>
        <v>0</v>
      </c>
      <c r="Y490" s="14"/>
      <c r="Z490" s="12"/>
      <c r="AA490" s="12"/>
      <c r="AB490" s="12"/>
      <c r="AC490" s="12"/>
    </row>
    <row r="491" spans="1:29" ht="12.75" customHeight="1">
      <c r="A491" s="123" t="s">
        <v>637</v>
      </c>
      <c r="B491" s="123"/>
      <c r="C491" s="83">
        <f aca="true" t="shared" si="106" ref="C491:X491">SUM(C490+C466+C458+C451+C448+C443+C426)</f>
        <v>213474576</v>
      </c>
      <c r="D491" s="83">
        <f t="shared" si="106"/>
        <v>78781822</v>
      </c>
      <c r="E491" s="83">
        <f t="shared" si="106"/>
        <v>19688385</v>
      </c>
      <c r="F491" s="83">
        <f t="shared" si="106"/>
        <v>37998865</v>
      </c>
      <c r="G491" s="83">
        <f t="shared" si="106"/>
        <v>10659187</v>
      </c>
      <c r="H491" s="83">
        <f t="shared" si="106"/>
        <v>7882521</v>
      </c>
      <c r="I491" s="83">
        <f t="shared" si="106"/>
        <v>2552864</v>
      </c>
      <c r="J491" s="83">
        <f t="shared" si="106"/>
        <v>22</v>
      </c>
      <c r="K491" s="83">
        <f t="shared" si="106"/>
        <v>49985242</v>
      </c>
      <c r="L491" s="83">
        <f t="shared" si="106"/>
        <v>12439.68</v>
      </c>
      <c r="M491" s="83">
        <f t="shared" si="106"/>
        <v>43750561</v>
      </c>
      <c r="N491" s="83">
        <f t="shared" si="106"/>
        <v>0</v>
      </c>
      <c r="O491" s="83">
        <f t="shared" si="106"/>
        <v>0</v>
      </c>
      <c r="P491" s="83">
        <f t="shared" si="106"/>
        <v>11717.8</v>
      </c>
      <c r="Q491" s="83">
        <f t="shared" si="106"/>
        <v>16170802</v>
      </c>
      <c r="R491" s="83">
        <f t="shared" si="106"/>
        <v>0</v>
      </c>
      <c r="S491" s="83">
        <f t="shared" si="106"/>
        <v>0</v>
      </c>
      <c r="T491" s="83">
        <f t="shared" si="106"/>
        <v>620</v>
      </c>
      <c r="U491" s="83">
        <f t="shared" si="106"/>
        <v>2370172</v>
      </c>
      <c r="V491" s="83">
        <f t="shared" si="106"/>
        <v>4280480</v>
      </c>
      <c r="W491" s="83">
        <f t="shared" si="106"/>
        <v>18135497</v>
      </c>
      <c r="X491" s="83">
        <f t="shared" si="106"/>
        <v>0</v>
      </c>
      <c r="Y491" s="14"/>
      <c r="Z491" s="12"/>
      <c r="AA491" s="12"/>
      <c r="AB491" s="12"/>
      <c r="AC491" s="12"/>
    </row>
    <row r="492" spans="1:29" ht="12.75" customHeight="1">
      <c r="A492" s="133" t="s">
        <v>638</v>
      </c>
      <c r="B492" s="133"/>
      <c r="C492" s="133"/>
      <c r="D492" s="133"/>
      <c r="E492" s="133"/>
      <c r="F492" s="133"/>
      <c r="G492" s="133"/>
      <c r="H492" s="133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133"/>
      <c r="T492" s="133"/>
      <c r="U492" s="133"/>
      <c r="V492" s="133"/>
      <c r="W492" s="133"/>
      <c r="X492" s="133"/>
      <c r="Y492" s="14"/>
      <c r="Z492" s="12"/>
      <c r="AB492" s="12"/>
      <c r="AC492" s="12"/>
    </row>
    <row r="493" spans="1:29" ht="12.75" customHeight="1">
      <c r="A493" s="123" t="s">
        <v>639</v>
      </c>
      <c r="B493" s="123"/>
      <c r="C493" s="123"/>
      <c r="D493" s="127"/>
      <c r="E493" s="127"/>
      <c r="F493" s="127"/>
      <c r="G493" s="127"/>
      <c r="H493" s="127"/>
      <c r="I493" s="127"/>
      <c r="J493" s="127"/>
      <c r="K493" s="127"/>
      <c r="L493" s="127"/>
      <c r="M493" s="127"/>
      <c r="N493" s="127"/>
      <c r="O493" s="127"/>
      <c r="P493" s="127"/>
      <c r="Q493" s="127"/>
      <c r="R493" s="127"/>
      <c r="S493" s="127"/>
      <c r="T493" s="127"/>
      <c r="U493" s="127"/>
      <c r="V493" s="127"/>
      <c r="W493" s="127"/>
      <c r="X493" s="127"/>
      <c r="Y493" s="14"/>
      <c r="Z493" s="12"/>
      <c r="AB493" s="12"/>
      <c r="AC493" s="12"/>
    </row>
    <row r="494" spans="1:29" ht="12.75" customHeight="1">
      <c r="A494" s="96">
        <f>A489+1</f>
        <v>380</v>
      </c>
      <c r="B494" s="13" t="s">
        <v>403</v>
      </c>
      <c r="C494" s="97">
        <f aca="true" t="shared" si="107" ref="C494:C524">D494+K494+M494+O494+Q494+S494+U494+V494+W494+X494</f>
        <v>283844</v>
      </c>
      <c r="D494" s="86">
        <f aca="true" t="shared" si="108" ref="D494:D524">E494+F494+G494+H494+I494</f>
        <v>0</v>
      </c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>
        <f>180553+103291</f>
        <v>283844</v>
      </c>
      <c r="X494" s="97"/>
      <c r="Y494" s="14"/>
      <c r="Z494" s="12"/>
      <c r="AB494" s="12"/>
      <c r="AC494" s="12"/>
    </row>
    <row r="495" spans="1:29" ht="12.75" customHeight="1">
      <c r="A495" s="96">
        <f aca="true" t="shared" si="109" ref="A495:A524">A494+1</f>
        <v>381</v>
      </c>
      <c r="B495" s="13" t="s">
        <v>402</v>
      </c>
      <c r="C495" s="97">
        <f t="shared" si="107"/>
        <v>273330</v>
      </c>
      <c r="D495" s="86">
        <f t="shared" si="108"/>
        <v>0</v>
      </c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>
        <f>273330</f>
        <v>273330</v>
      </c>
      <c r="X495" s="97"/>
      <c r="Y495" s="14"/>
      <c r="Z495" s="12"/>
      <c r="AB495" s="12"/>
      <c r="AC495" s="12"/>
    </row>
    <row r="496" spans="1:29" ht="12.75" customHeight="1">
      <c r="A496" s="96">
        <f t="shared" si="109"/>
        <v>382</v>
      </c>
      <c r="B496" s="13" t="s">
        <v>404</v>
      </c>
      <c r="C496" s="97">
        <f t="shared" si="107"/>
        <v>5187002</v>
      </c>
      <c r="D496" s="86">
        <f t="shared" si="108"/>
        <v>0</v>
      </c>
      <c r="E496" s="97"/>
      <c r="F496" s="97"/>
      <c r="G496" s="97"/>
      <c r="H496" s="97"/>
      <c r="I496" s="97"/>
      <c r="J496" s="97"/>
      <c r="K496" s="97"/>
      <c r="L496" s="97">
        <v>1729</v>
      </c>
      <c r="M496" s="97">
        <f>5187002</f>
        <v>5187002</v>
      </c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14"/>
      <c r="Z496" s="12"/>
      <c r="AB496" s="12"/>
      <c r="AC496" s="12"/>
    </row>
    <row r="497" spans="1:29" ht="12.75" customHeight="1">
      <c r="A497" s="96">
        <f t="shared" si="109"/>
        <v>383</v>
      </c>
      <c r="B497" s="13" t="s">
        <v>409</v>
      </c>
      <c r="C497" s="97">
        <f t="shared" si="107"/>
        <v>528916</v>
      </c>
      <c r="D497" s="86">
        <f t="shared" si="108"/>
        <v>0</v>
      </c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>
        <v>528916</v>
      </c>
      <c r="X497" s="97"/>
      <c r="Y497" s="14"/>
      <c r="Z497" s="12"/>
      <c r="AB497" s="12"/>
      <c r="AC497" s="12"/>
    </row>
    <row r="498" spans="1:29" ht="12.75" customHeight="1">
      <c r="A498" s="96">
        <f t="shared" si="109"/>
        <v>384</v>
      </c>
      <c r="B498" s="13" t="s">
        <v>391</v>
      </c>
      <c r="C498" s="97">
        <f t="shared" si="107"/>
        <v>27631227</v>
      </c>
      <c r="D498" s="86">
        <f t="shared" si="108"/>
        <v>0</v>
      </c>
      <c r="E498" s="97"/>
      <c r="F498" s="97"/>
      <c r="G498" s="97"/>
      <c r="H498" s="97"/>
      <c r="I498" s="97"/>
      <c r="J498" s="97"/>
      <c r="K498" s="97"/>
      <c r="L498" s="97">
        <v>1922</v>
      </c>
      <c r="M498" s="97">
        <v>3550711</v>
      </c>
      <c r="N498" s="97">
        <v>1200</v>
      </c>
      <c r="O498" s="97">
        <v>1189084</v>
      </c>
      <c r="P498" s="97"/>
      <c r="Q498" s="97"/>
      <c r="R498" s="97"/>
      <c r="S498" s="97"/>
      <c r="T498" s="97">
        <v>3000</v>
      </c>
      <c r="U498" s="97">
        <v>22627332</v>
      </c>
      <c r="V498" s="97"/>
      <c r="W498" s="97">
        <v>264100</v>
      </c>
      <c r="X498" s="97"/>
      <c r="Y498" s="14"/>
      <c r="Z498" s="12"/>
      <c r="AB498" s="12"/>
      <c r="AC498" s="12"/>
    </row>
    <row r="499" spans="1:29" ht="12.75" customHeight="1">
      <c r="A499" s="96">
        <f t="shared" si="109"/>
        <v>385</v>
      </c>
      <c r="B499" s="13" t="s">
        <v>392</v>
      </c>
      <c r="C499" s="97">
        <f t="shared" si="107"/>
        <v>4582029</v>
      </c>
      <c r="D499" s="86">
        <f t="shared" si="108"/>
        <v>0</v>
      </c>
      <c r="E499" s="97"/>
      <c r="F499" s="97"/>
      <c r="G499" s="97"/>
      <c r="H499" s="97"/>
      <c r="I499" s="97"/>
      <c r="J499" s="97"/>
      <c r="K499" s="97"/>
      <c r="L499" s="97">
        <v>1021</v>
      </c>
      <c r="M499" s="97">
        <v>4285195</v>
      </c>
      <c r="N499" s="97"/>
      <c r="O499" s="97"/>
      <c r="P499" s="97"/>
      <c r="Q499" s="97"/>
      <c r="R499" s="97"/>
      <c r="S499" s="97"/>
      <c r="T499" s="97"/>
      <c r="U499" s="97"/>
      <c r="V499" s="97"/>
      <c r="W499" s="97">
        <f>123917+172917</f>
        <v>296834</v>
      </c>
      <c r="X499" s="97"/>
      <c r="Y499" s="14"/>
      <c r="Z499" s="12"/>
      <c r="AB499" s="12"/>
      <c r="AC499" s="12"/>
    </row>
    <row r="500" spans="1:29" ht="16.5" customHeight="1">
      <c r="A500" s="96">
        <f t="shared" si="109"/>
        <v>386</v>
      </c>
      <c r="B500" s="13" t="s">
        <v>407</v>
      </c>
      <c r="C500" s="97">
        <f t="shared" si="107"/>
        <v>2151898</v>
      </c>
      <c r="D500" s="86">
        <f t="shared" si="108"/>
        <v>0</v>
      </c>
      <c r="E500" s="97"/>
      <c r="F500" s="97"/>
      <c r="G500" s="97"/>
      <c r="H500" s="97"/>
      <c r="I500" s="97"/>
      <c r="J500" s="97"/>
      <c r="K500" s="97"/>
      <c r="L500" s="97">
        <v>400</v>
      </c>
      <c r="M500" s="97">
        <v>2058923</v>
      </c>
      <c r="N500" s="97"/>
      <c r="O500" s="97"/>
      <c r="P500" s="97"/>
      <c r="Q500" s="97"/>
      <c r="R500" s="97"/>
      <c r="S500" s="97"/>
      <c r="T500" s="97"/>
      <c r="U500" s="97"/>
      <c r="V500" s="97"/>
      <c r="W500" s="97">
        <v>92975</v>
      </c>
      <c r="X500" s="97"/>
      <c r="Y500" s="14"/>
      <c r="Z500" s="12"/>
      <c r="AB500" s="12"/>
      <c r="AC500" s="12"/>
    </row>
    <row r="501" spans="1:29" ht="12.75" customHeight="1">
      <c r="A501" s="96">
        <f t="shared" si="109"/>
        <v>387</v>
      </c>
      <c r="B501" s="13" t="s">
        <v>397</v>
      </c>
      <c r="C501" s="97">
        <f t="shared" si="107"/>
        <v>2323178</v>
      </c>
      <c r="D501" s="86">
        <f t="shared" si="108"/>
        <v>0</v>
      </c>
      <c r="E501" s="97"/>
      <c r="F501" s="97"/>
      <c r="G501" s="97"/>
      <c r="H501" s="97"/>
      <c r="I501" s="97"/>
      <c r="J501" s="97"/>
      <c r="K501" s="97"/>
      <c r="L501" s="97">
        <v>770</v>
      </c>
      <c r="M501" s="97">
        <v>1885830</v>
      </c>
      <c r="N501" s="97"/>
      <c r="O501" s="97"/>
      <c r="P501" s="97"/>
      <c r="Q501" s="97"/>
      <c r="R501" s="97"/>
      <c r="S501" s="97"/>
      <c r="T501" s="97"/>
      <c r="U501" s="97"/>
      <c r="V501" s="97"/>
      <c r="W501" s="97">
        <f>152762+284586</f>
        <v>437348</v>
      </c>
      <c r="X501" s="97"/>
      <c r="Y501" s="14"/>
      <c r="Z501" s="12"/>
      <c r="AB501" s="12"/>
      <c r="AC501" s="12"/>
    </row>
    <row r="502" spans="1:29" ht="12.75" customHeight="1">
      <c r="A502" s="96">
        <f t="shared" si="109"/>
        <v>388</v>
      </c>
      <c r="B502" s="13" t="s">
        <v>398</v>
      </c>
      <c r="C502" s="97">
        <f t="shared" si="107"/>
        <v>1574268</v>
      </c>
      <c r="D502" s="86">
        <f t="shared" si="108"/>
        <v>0</v>
      </c>
      <c r="E502" s="97"/>
      <c r="F502" s="97"/>
      <c r="G502" s="97"/>
      <c r="H502" s="97"/>
      <c r="I502" s="97"/>
      <c r="J502" s="97"/>
      <c r="K502" s="97"/>
      <c r="L502" s="97"/>
      <c r="M502" s="97"/>
      <c r="N502" s="97">
        <v>900</v>
      </c>
      <c r="O502" s="97">
        <v>1024838</v>
      </c>
      <c r="P502" s="97"/>
      <c r="Q502" s="97"/>
      <c r="R502" s="97"/>
      <c r="S502" s="97"/>
      <c r="T502" s="97"/>
      <c r="U502" s="97"/>
      <c r="V502" s="97"/>
      <c r="W502" s="97">
        <f>200114+349316</f>
        <v>549430</v>
      </c>
      <c r="X502" s="97"/>
      <c r="Y502" s="14"/>
      <c r="Z502" s="12"/>
      <c r="AB502" s="12"/>
      <c r="AC502" s="12"/>
    </row>
    <row r="503" spans="1:29" ht="12.75" customHeight="1">
      <c r="A503" s="96">
        <f t="shared" si="109"/>
        <v>389</v>
      </c>
      <c r="B503" s="13" t="s">
        <v>399</v>
      </c>
      <c r="C503" s="97">
        <f t="shared" si="107"/>
        <v>2911765</v>
      </c>
      <c r="D503" s="86">
        <f t="shared" si="108"/>
        <v>0</v>
      </c>
      <c r="E503" s="97"/>
      <c r="F503" s="97"/>
      <c r="G503" s="97"/>
      <c r="H503" s="97"/>
      <c r="I503" s="97"/>
      <c r="J503" s="97"/>
      <c r="K503" s="97"/>
      <c r="L503" s="97">
        <v>1035</v>
      </c>
      <c r="M503" s="97">
        <v>2480399</v>
      </c>
      <c r="N503" s="97"/>
      <c r="O503" s="97"/>
      <c r="P503" s="97"/>
      <c r="Q503" s="97"/>
      <c r="R503" s="97"/>
      <c r="S503" s="97"/>
      <c r="T503" s="97"/>
      <c r="U503" s="97"/>
      <c r="V503" s="97"/>
      <c r="W503" s="97">
        <f>150228+281138</f>
        <v>431366</v>
      </c>
      <c r="X503" s="97"/>
      <c r="Y503" s="14"/>
      <c r="Z503" s="12"/>
      <c r="AB503" s="12"/>
      <c r="AC503" s="12"/>
    </row>
    <row r="504" spans="1:29" ht="12.75" customHeight="1">
      <c r="A504" s="96">
        <f t="shared" si="109"/>
        <v>390</v>
      </c>
      <c r="B504" s="13" t="s">
        <v>387</v>
      </c>
      <c r="C504" s="97">
        <f t="shared" si="107"/>
        <v>394372</v>
      </c>
      <c r="D504" s="86">
        <f t="shared" si="108"/>
        <v>0</v>
      </c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>
        <v>394372</v>
      </c>
      <c r="X504" s="97"/>
      <c r="Y504" s="14"/>
      <c r="Z504" s="12"/>
      <c r="AB504" s="12"/>
      <c r="AC504" s="12"/>
    </row>
    <row r="505" spans="1:29" ht="12.75" customHeight="1">
      <c r="A505" s="96">
        <f t="shared" si="109"/>
        <v>391</v>
      </c>
      <c r="B505" s="13" t="s">
        <v>388</v>
      </c>
      <c r="C505" s="97">
        <f t="shared" si="107"/>
        <v>434703</v>
      </c>
      <c r="D505" s="86">
        <f t="shared" si="108"/>
        <v>0</v>
      </c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>
        <v>434703</v>
      </c>
      <c r="X505" s="97"/>
      <c r="Y505" s="14"/>
      <c r="Z505" s="12"/>
      <c r="AB505" s="12"/>
      <c r="AC505" s="12"/>
    </row>
    <row r="506" spans="1:29" ht="12.75" customHeight="1">
      <c r="A506" s="96">
        <f t="shared" si="109"/>
        <v>392</v>
      </c>
      <c r="B506" s="13" t="s">
        <v>401</v>
      </c>
      <c r="C506" s="97">
        <f t="shared" si="107"/>
        <v>1541519</v>
      </c>
      <c r="D506" s="86">
        <f t="shared" si="108"/>
        <v>0</v>
      </c>
      <c r="E506" s="97"/>
      <c r="F506" s="97"/>
      <c r="G506" s="97"/>
      <c r="H506" s="97"/>
      <c r="I506" s="97"/>
      <c r="J506" s="97"/>
      <c r="K506" s="97"/>
      <c r="L506" s="97">
        <v>490</v>
      </c>
      <c r="M506" s="97">
        <v>1250995</v>
      </c>
      <c r="N506" s="97"/>
      <c r="O506" s="97"/>
      <c r="P506" s="97"/>
      <c r="Q506" s="97"/>
      <c r="R506" s="97"/>
      <c r="S506" s="97"/>
      <c r="T506" s="97"/>
      <c r="U506" s="97"/>
      <c r="V506" s="97"/>
      <c r="W506" s="86">
        <f>176425+114099</f>
        <v>290524</v>
      </c>
      <c r="X506" s="97"/>
      <c r="Y506" s="14"/>
      <c r="Z506" s="12"/>
      <c r="AB506" s="12"/>
      <c r="AC506" s="12"/>
    </row>
    <row r="507" spans="1:29" ht="12.75" customHeight="1">
      <c r="A507" s="96">
        <f t="shared" si="109"/>
        <v>393</v>
      </c>
      <c r="B507" s="13" t="s">
        <v>400</v>
      </c>
      <c r="C507" s="97">
        <f t="shared" si="107"/>
        <v>3793564</v>
      </c>
      <c r="D507" s="86">
        <f t="shared" si="108"/>
        <v>0</v>
      </c>
      <c r="E507" s="97"/>
      <c r="F507" s="97"/>
      <c r="G507" s="97"/>
      <c r="H507" s="97"/>
      <c r="I507" s="97"/>
      <c r="J507" s="97"/>
      <c r="K507" s="97"/>
      <c r="L507" s="97">
        <v>1034</v>
      </c>
      <c r="M507" s="97">
        <v>2331217</v>
      </c>
      <c r="N507" s="97">
        <v>900</v>
      </c>
      <c r="O507" s="97">
        <v>1015973</v>
      </c>
      <c r="P507" s="97"/>
      <c r="Q507" s="97"/>
      <c r="R507" s="97"/>
      <c r="S507" s="97"/>
      <c r="T507" s="97"/>
      <c r="U507" s="97"/>
      <c r="V507" s="97"/>
      <c r="W507" s="86">
        <f>258659+187715</f>
        <v>446374</v>
      </c>
      <c r="X507" s="97"/>
      <c r="Y507" s="14"/>
      <c r="Z507" s="12"/>
      <c r="AB507" s="12"/>
      <c r="AC507" s="12"/>
    </row>
    <row r="508" spans="1:29" s="253" customFormat="1" ht="12.75">
      <c r="A508" s="96">
        <f t="shared" si="109"/>
        <v>394</v>
      </c>
      <c r="B508" s="82" t="s">
        <v>758</v>
      </c>
      <c r="C508" s="97">
        <f t="shared" si="107"/>
        <v>4529692</v>
      </c>
      <c r="D508" s="86">
        <f>E508+F508+G508+H508+I508</f>
        <v>0</v>
      </c>
      <c r="E508" s="97"/>
      <c r="F508" s="97"/>
      <c r="G508" s="97"/>
      <c r="H508" s="97"/>
      <c r="I508" s="97"/>
      <c r="J508" s="97"/>
      <c r="K508" s="86"/>
      <c r="L508" s="97"/>
      <c r="M508" s="97"/>
      <c r="N508" s="97">
        <v>1280</v>
      </c>
      <c r="O508" s="246">
        <v>512543</v>
      </c>
      <c r="P508" s="97">
        <v>2400</v>
      </c>
      <c r="Q508" s="246">
        <v>3257271</v>
      </c>
      <c r="R508" s="97">
        <v>1280</v>
      </c>
      <c r="S508" s="246">
        <v>759878</v>
      </c>
      <c r="T508" s="97"/>
      <c r="U508" s="97"/>
      <c r="V508" s="97"/>
      <c r="W508" s="97"/>
      <c r="X508" s="255"/>
      <c r="Y508" s="251"/>
      <c r="Z508" s="252"/>
      <c r="AA508" s="252"/>
      <c r="AB508" s="12"/>
      <c r="AC508" s="12"/>
    </row>
    <row r="509" spans="1:29" s="253" customFormat="1" ht="12.75">
      <c r="A509" s="96">
        <f t="shared" si="109"/>
        <v>395</v>
      </c>
      <c r="B509" s="89" t="s">
        <v>759</v>
      </c>
      <c r="C509" s="97">
        <f t="shared" si="107"/>
        <v>818846</v>
      </c>
      <c r="D509" s="97">
        <f>E509+F509+G509+H509+I509</f>
        <v>818846</v>
      </c>
      <c r="E509" s="249">
        <v>818846</v>
      </c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255"/>
      <c r="Y509" s="251"/>
      <c r="Z509" s="252"/>
      <c r="AA509" s="252"/>
      <c r="AB509" s="12"/>
      <c r="AC509" s="12"/>
    </row>
    <row r="510" spans="1:29" ht="12.75" customHeight="1">
      <c r="A510" s="96">
        <f t="shared" si="109"/>
        <v>396</v>
      </c>
      <c r="B510" s="13" t="s">
        <v>385</v>
      </c>
      <c r="C510" s="97">
        <f t="shared" si="107"/>
        <v>2182745</v>
      </c>
      <c r="D510" s="86">
        <f t="shared" si="108"/>
        <v>0</v>
      </c>
      <c r="E510" s="97"/>
      <c r="F510" s="97"/>
      <c r="G510" s="97"/>
      <c r="H510" s="97"/>
      <c r="I510" s="97"/>
      <c r="J510" s="97"/>
      <c r="K510" s="97"/>
      <c r="L510" s="97">
        <v>888</v>
      </c>
      <c r="M510" s="97">
        <v>2182745</v>
      </c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14"/>
      <c r="Z510" s="12"/>
      <c r="AB510" s="12"/>
      <c r="AC510" s="12"/>
    </row>
    <row r="511" spans="1:29" ht="12.75" customHeight="1">
      <c r="A511" s="96">
        <f t="shared" si="109"/>
        <v>397</v>
      </c>
      <c r="B511" s="13" t="s">
        <v>386</v>
      </c>
      <c r="C511" s="97">
        <f t="shared" si="107"/>
        <v>2491171</v>
      </c>
      <c r="D511" s="86">
        <f t="shared" si="108"/>
        <v>0</v>
      </c>
      <c r="E511" s="97"/>
      <c r="F511" s="97"/>
      <c r="G511" s="97"/>
      <c r="H511" s="97"/>
      <c r="I511" s="97"/>
      <c r="J511" s="97"/>
      <c r="K511" s="97"/>
      <c r="L511" s="97">
        <v>872</v>
      </c>
      <c r="M511" s="97">
        <f>1807695</f>
        <v>1807695</v>
      </c>
      <c r="N511" s="97"/>
      <c r="O511" s="97"/>
      <c r="P511" s="97"/>
      <c r="Q511" s="97"/>
      <c r="R511" s="97"/>
      <c r="S511" s="97"/>
      <c r="T511" s="97"/>
      <c r="U511" s="97"/>
      <c r="V511" s="97"/>
      <c r="W511" s="97">
        <f>194423+489053</f>
        <v>683476</v>
      </c>
      <c r="X511" s="97"/>
      <c r="Y511" s="14"/>
      <c r="Z511" s="12"/>
      <c r="AB511" s="12"/>
      <c r="AC511" s="12"/>
    </row>
    <row r="512" spans="1:29" s="253" customFormat="1" ht="12.75">
      <c r="A512" s="96">
        <f t="shared" si="109"/>
        <v>398</v>
      </c>
      <c r="B512" s="89" t="s">
        <v>760</v>
      </c>
      <c r="C512" s="97">
        <f t="shared" si="107"/>
        <v>852112</v>
      </c>
      <c r="D512" s="97">
        <f>E512+F512+G512+H512+I512</f>
        <v>852112</v>
      </c>
      <c r="E512" s="249">
        <v>852112</v>
      </c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255"/>
      <c r="Y512" s="251"/>
      <c r="Z512" s="252"/>
      <c r="AA512" s="252"/>
      <c r="AB512" s="12"/>
      <c r="AC512" s="12"/>
    </row>
    <row r="513" spans="1:29" ht="12.75" customHeight="1">
      <c r="A513" s="96">
        <f t="shared" si="109"/>
        <v>399</v>
      </c>
      <c r="B513" s="13" t="s">
        <v>383</v>
      </c>
      <c r="C513" s="97">
        <f t="shared" si="107"/>
        <v>4021599</v>
      </c>
      <c r="D513" s="86">
        <f t="shared" si="108"/>
        <v>0</v>
      </c>
      <c r="E513" s="97"/>
      <c r="F513" s="97"/>
      <c r="G513" s="97"/>
      <c r="H513" s="97"/>
      <c r="I513" s="97"/>
      <c r="J513" s="97"/>
      <c r="K513" s="97"/>
      <c r="L513" s="97">
        <v>953</v>
      </c>
      <c r="M513" s="97">
        <f>3267125</f>
        <v>3267125</v>
      </c>
      <c r="N513" s="97">
        <v>344</v>
      </c>
      <c r="O513" s="97">
        <f>319352</f>
        <v>319352</v>
      </c>
      <c r="P513" s="97"/>
      <c r="Q513" s="97"/>
      <c r="R513" s="97"/>
      <c r="S513" s="97"/>
      <c r="T513" s="97"/>
      <c r="U513" s="97"/>
      <c r="V513" s="97"/>
      <c r="W513" s="97">
        <f>167737+267385</f>
        <v>435122</v>
      </c>
      <c r="X513" s="97"/>
      <c r="Y513" s="14"/>
      <c r="Z513" s="12"/>
      <c r="AB513" s="12"/>
      <c r="AC513" s="12"/>
    </row>
    <row r="514" spans="1:29" ht="12.75" customHeight="1">
      <c r="A514" s="96">
        <f t="shared" si="109"/>
        <v>400</v>
      </c>
      <c r="B514" s="13" t="s">
        <v>410</v>
      </c>
      <c r="C514" s="97">
        <f t="shared" si="107"/>
        <v>227428</v>
      </c>
      <c r="D514" s="86">
        <f t="shared" si="108"/>
        <v>0</v>
      </c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>
        <v>227428</v>
      </c>
      <c r="X514" s="97"/>
      <c r="Y514" s="14"/>
      <c r="Z514" s="12"/>
      <c r="AB514" s="12"/>
      <c r="AC514" s="12"/>
    </row>
    <row r="515" spans="1:29" ht="12.75" customHeight="1">
      <c r="A515" s="96">
        <f t="shared" si="109"/>
        <v>401</v>
      </c>
      <c r="B515" s="13" t="s">
        <v>405</v>
      </c>
      <c r="C515" s="97">
        <f t="shared" si="107"/>
        <v>316827</v>
      </c>
      <c r="D515" s="86">
        <f t="shared" si="108"/>
        <v>0</v>
      </c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86">
        <f>169714+147113</f>
        <v>316827</v>
      </c>
      <c r="X515" s="97"/>
      <c r="Y515" s="14"/>
      <c r="Z515" s="12"/>
      <c r="AB515" s="12"/>
      <c r="AC515" s="12"/>
    </row>
    <row r="516" spans="1:29" ht="12.75" customHeight="1">
      <c r="A516" s="96">
        <f t="shared" si="109"/>
        <v>402</v>
      </c>
      <c r="B516" s="13" t="s">
        <v>384</v>
      </c>
      <c r="C516" s="97">
        <f t="shared" si="107"/>
        <v>2037983</v>
      </c>
      <c r="D516" s="86">
        <f t="shared" si="108"/>
        <v>0</v>
      </c>
      <c r="E516" s="97"/>
      <c r="F516" s="97"/>
      <c r="G516" s="97"/>
      <c r="H516" s="97"/>
      <c r="I516" s="97"/>
      <c r="J516" s="97"/>
      <c r="K516" s="97"/>
      <c r="L516" s="97">
        <v>872</v>
      </c>
      <c r="M516" s="97">
        <f>1349968</f>
        <v>1349968</v>
      </c>
      <c r="N516" s="97"/>
      <c r="O516" s="97"/>
      <c r="P516" s="97"/>
      <c r="Q516" s="97"/>
      <c r="R516" s="97"/>
      <c r="S516" s="97"/>
      <c r="T516" s="97"/>
      <c r="U516" s="97"/>
      <c r="V516" s="97"/>
      <c r="W516" s="97">
        <f>196501+491514</f>
        <v>688015</v>
      </c>
      <c r="X516" s="97"/>
      <c r="Y516" s="14"/>
      <c r="Z516" s="12"/>
      <c r="AB516" s="12"/>
      <c r="AC516" s="12"/>
    </row>
    <row r="517" spans="1:29" ht="12.75" customHeight="1">
      <c r="A517" s="96">
        <f t="shared" si="109"/>
        <v>403</v>
      </c>
      <c r="B517" s="13" t="s">
        <v>393</v>
      </c>
      <c r="C517" s="97">
        <f t="shared" si="107"/>
        <v>8472943</v>
      </c>
      <c r="D517" s="86">
        <f t="shared" si="108"/>
        <v>0</v>
      </c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>
        <v>1944</v>
      </c>
      <c r="Q517" s="97">
        <v>8472943</v>
      </c>
      <c r="R517" s="97"/>
      <c r="S517" s="97"/>
      <c r="T517" s="97"/>
      <c r="U517" s="97"/>
      <c r="V517" s="97"/>
      <c r="W517" s="97"/>
      <c r="X517" s="97"/>
      <c r="Y517" s="14"/>
      <c r="Z517" s="12"/>
      <c r="AB517" s="12"/>
      <c r="AC517" s="12"/>
    </row>
    <row r="518" spans="1:29" ht="12.75" customHeight="1">
      <c r="A518" s="96">
        <f t="shared" si="109"/>
        <v>404</v>
      </c>
      <c r="B518" s="13" t="s">
        <v>408</v>
      </c>
      <c r="C518" s="97">
        <f t="shared" si="107"/>
        <v>509229</v>
      </c>
      <c r="D518" s="86">
        <f t="shared" si="108"/>
        <v>0</v>
      </c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259">
        <v>509229</v>
      </c>
      <c r="X518" s="97"/>
      <c r="Y518" s="14"/>
      <c r="Z518" s="12"/>
      <c r="AB518" s="12"/>
      <c r="AC518" s="12"/>
    </row>
    <row r="519" spans="1:29" ht="12.75" customHeight="1">
      <c r="A519" s="96">
        <f t="shared" si="109"/>
        <v>405</v>
      </c>
      <c r="B519" s="13" t="s">
        <v>390</v>
      </c>
      <c r="C519" s="97">
        <f t="shared" si="107"/>
        <v>2297079</v>
      </c>
      <c r="D519" s="86">
        <f t="shared" si="108"/>
        <v>0</v>
      </c>
      <c r="E519" s="97"/>
      <c r="F519" s="97"/>
      <c r="G519" s="97"/>
      <c r="H519" s="97"/>
      <c r="I519" s="97"/>
      <c r="J519" s="97"/>
      <c r="K519" s="97"/>
      <c r="L519" s="97">
        <v>1460</v>
      </c>
      <c r="M519" s="97">
        <v>2297079</v>
      </c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14"/>
      <c r="Z519" s="12"/>
      <c r="AB519" s="12"/>
      <c r="AC519" s="12"/>
    </row>
    <row r="520" spans="1:29" ht="12.75" customHeight="1">
      <c r="A520" s="96">
        <f t="shared" si="109"/>
        <v>406</v>
      </c>
      <c r="B520" s="13" t="s">
        <v>389</v>
      </c>
      <c r="C520" s="97">
        <f t="shared" si="107"/>
        <v>20932120</v>
      </c>
      <c r="D520" s="86">
        <f t="shared" si="108"/>
        <v>0</v>
      </c>
      <c r="E520" s="97"/>
      <c r="F520" s="97"/>
      <c r="G520" s="97"/>
      <c r="H520" s="97"/>
      <c r="I520" s="97"/>
      <c r="J520" s="97"/>
      <c r="K520" s="97"/>
      <c r="L520" s="97">
        <v>1580</v>
      </c>
      <c r="M520" s="97">
        <v>3309539</v>
      </c>
      <c r="N520" s="97"/>
      <c r="O520" s="97"/>
      <c r="P520" s="97"/>
      <c r="Q520" s="97"/>
      <c r="R520" s="97"/>
      <c r="S520" s="97"/>
      <c r="T520" s="97">
        <v>2300</v>
      </c>
      <c r="U520" s="97">
        <v>17622581</v>
      </c>
      <c r="V520" s="97"/>
      <c r="W520" s="97"/>
      <c r="X520" s="97"/>
      <c r="Y520" s="14"/>
      <c r="Z520" s="12"/>
      <c r="AB520" s="12"/>
      <c r="AC520" s="12"/>
    </row>
    <row r="521" spans="1:29" ht="12.75" customHeight="1">
      <c r="A521" s="96">
        <f t="shared" si="109"/>
        <v>407</v>
      </c>
      <c r="B521" s="13" t="s">
        <v>406</v>
      </c>
      <c r="C521" s="97">
        <f t="shared" si="107"/>
        <v>2236522</v>
      </c>
      <c r="D521" s="86">
        <f t="shared" si="108"/>
        <v>0</v>
      </c>
      <c r="E521" s="97"/>
      <c r="F521" s="97"/>
      <c r="G521" s="97"/>
      <c r="H521" s="97"/>
      <c r="I521" s="97"/>
      <c r="J521" s="97"/>
      <c r="K521" s="97"/>
      <c r="L521" s="97">
        <v>630.6</v>
      </c>
      <c r="M521" s="97">
        <f>2236522</f>
        <v>2236522</v>
      </c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14"/>
      <c r="Z521" s="12"/>
      <c r="AB521" s="12"/>
      <c r="AC521" s="12"/>
    </row>
    <row r="522" spans="1:29" ht="12.75" customHeight="1">
      <c r="A522" s="96">
        <f t="shared" si="109"/>
        <v>408</v>
      </c>
      <c r="B522" s="13" t="s">
        <v>394</v>
      </c>
      <c r="C522" s="97">
        <f t="shared" si="107"/>
        <v>2596942</v>
      </c>
      <c r="D522" s="86">
        <f t="shared" si="108"/>
        <v>0</v>
      </c>
      <c r="E522" s="97"/>
      <c r="F522" s="97"/>
      <c r="G522" s="97"/>
      <c r="H522" s="97"/>
      <c r="I522" s="97"/>
      <c r="J522" s="97"/>
      <c r="K522" s="97"/>
      <c r="L522" s="97">
        <v>700</v>
      </c>
      <c r="M522" s="97">
        <v>2484345</v>
      </c>
      <c r="N522" s="97"/>
      <c r="O522" s="97"/>
      <c r="P522" s="97"/>
      <c r="Q522" s="97"/>
      <c r="R522" s="97"/>
      <c r="S522" s="97"/>
      <c r="T522" s="97"/>
      <c r="U522" s="97"/>
      <c r="V522" s="97"/>
      <c r="W522" s="97">
        <f>112597</f>
        <v>112597</v>
      </c>
      <c r="X522" s="97"/>
      <c r="Y522" s="14"/>
      <c r="Z522" s="12"/>
      <c r="AB522" s="12"/>
      <c r="AC522" s="12"/>
    </row>
    <row r="523" spans="1:29" ht="12.75" customHeight="1">
      <c r="A523" s="96">
        <f t="shared" si="109"/>
        <v>409</v>
      </c>
      <c r="B523" s="13" t="s">
        <v>395</v>
      </c>
      <c r="C523" s="97">
        <f t="shared" si="107"/>
        <v>1585711</v>
      </c>
      <c r="D523" s="86">
        <f t="shared" si="108"/>
        <v>0</v>
      </c>
      <c r="E523" s="97"/>
      <c r="F523" s="97"/>
      <c r="G523" s="97"/>
      <c r="H523" s="97"/>
      <c r="I523" s="97"/>
      <c r="J523" s="97"/>
      <c r="K523" s="97"/>
      <c r="L523" s="97">
        <v>627</v>
      </c>
      <c r="M523" s="97">
        <v>1585711</v>
      </c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14"/>
      <c r="Z523" s="12"/>
      <c r="AB523" s="12"/>
      <c r="AC523" s="12"/>
    </row>
    <row r="524" spans="1:29" ht="12.75" customHeight="1">
      <c r="A524" s="96">
        <f t="shared" si="109"/>
        <v>410</v>
      </c>
      <c r="B524" s="13" t="s">
        <v>396</v>
      </c>
      <c r="C524" s="97">
        <f t="shared" si="107"/>
        <v>1021238</v>
      </c>
      <c r="D524" s="86">
        <f t="shared" si="108"/>
        <v>0</v>
      </c>
      <c r="E524" s="97"/>
      <c r="F524" s="97"/>
      <c r="G524" s="97"/>
      <c r="H524" s="97"/>
      <c r="I524" s="97"/>
      <c r="J524" s="97"/>
      <c r="K524" s="97"/>
      <c r="L524" s="97">
        <v>372</v>
      </c>
      <c r="M524" s="97">
        <v>1021238</v>
      </c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14"/>
      <c r="Z524" s="12"/>
      <c r="AB524" s="12"/>
      <c r="AC524" s="12"/>
    </row>
    <row r="525" spans="1:29" ht="12.75" customHeight="1">
      <c r="A525" s="130" t="s">
        <v>597</v>
      </c>
      <c r="B525" s="130"/>
      <c r="C525" s="97">
        <f>SUM(C494:C524)</f>
        <v>110741802</v>
      </c>
      <c r="D525" s="97">
        <f aca="true" t="shared" si="110" ref="D525:X525">SUM(D494:D524)</f>
        <v>1670958</v>
      </c>
      <c r="E525" s="97">
        <f t="shared" si="110"/>
        <v>1670958</v>
      </c>
      <c r="F525" s="97">
        <f t="shared" si="110"/>
        <v>0</v>
      </c>
      <c r="G525" s="97">
        <f t="shared" si="110"/>
        <v>0</v>
      </c>
      <c r="H525" s="97">
        <f t="shared" si="110"/>
        <v>0</v>
      </c>
      <c r="I525" s="97">
        <f t="shared" si="110"/>
        <v>0</v>
      </c>
      <c r="J525" s="97">
        <f t="shared" si="110"/>
        <v>0</v>
      </c>
      <c r="K525" s="97">
        <f t="shared" si="110"/>
        <v>0</v>
      </c>
      <c r="L525" s="97">
        <f t="shared" si="110"/>
        <v>17355.6</v>
      </c>
      <c r="M525" s="97">
        <f t="shared" si="110"/>
        <v>44572239</v>
      </c>
      <c r="N525" s="97">
        <f t="shared" si="110"/>
        <v>4624</v>
      </c>
      <c r="O525" s="97">
        <f t="shared" si="110"/>
        <v>4061790</v>
      </c>
      <c r="P525" s="97">
        <f t="shared" si="110"/>
        <v>4344</v>
      </c>
      <c r="Q525" s="97">
        <f t="shared" si="110"/>
        <v>11730214</v>
      </c>
      <c r="R525" s="97">
        <f t="shared" si="110"/>
        <v>1280</v>
      </c>
      <c r="S525" s="97">
        <f t="shared" si="110"/>
        <v>759878</v>
      </c>
      <c r="T525" s="97">
        <f t="shared" si="110"/>
        <v>5300</v>
      </c>
      <c r="U525" s="97">
        <f t="shared" si="110"/>
        <v>40249913</v>
      </c>
      <c r="V525" s="97">
        <f t="shared" si="110"/>
        <v>0</v>
      </c>
      <c r="W525" s="97">
        <f t="shared" si="110"/>
        <v>7696810</v>
      </c>
      <c r="X525" s="97">
        <f t="shared" si="110"/>
        <v>0</v>
      </c>
      <c r="Y525" s="14"/>
      <c r="Z525" s="12"/>
      <c r="AA525" s="12"/>
      <c r="AB525" s="12"/>
      <c r="AC525" s="12"/>
    </row>
    <row r="526" spans="1:29" s="23" customFormat="1" ht="12.75" customHeight="1">
      <c r="A526" s="123" t="s">
        <v>640</v>
      </c>
      <c r="B526" s="123"/>
      <c r="C526" s="83">
        <f>C525</f>
        <v>110741802</v>
      </c>
      <c r="D526" s="83">
        <f aca="true" t="shared" si="111" ref="D526:X526">D525</f>
        <v>1670958</v>
      </c>
      <c r="E526" s="83">
        <f t="shared" si="111"/>
        <v>1670958</v>
      </c>
      <c r="F526" s="83">
        <f t="shared" si="111"/>
        <v>0</v>
      </c>
      <c r="G526" s="83">
        <f t="shared" si="111"/>
        <v>0</v>
      </c>
      <c r="H526" s="83">
        <f t="shared" si="111"/>
        <v>0</v>
      </c>
      <c r="I526" s="83">
        <f t="shared" si="111"/>
        <v>0</v>
      </c>
      <c r="J526" s="83">
        <f t="shared" si="111"/>
        <v>0</v>
      </c>
      <c r="K526" s="83">
        <f t="shared" si="111"/>
        <v>0</v>
      </c>
      <c r="L526" s="83">
        <f t="shared" si="111"/>
        <v>17355.6</v>
      </c>
      <c r="M526" s="83">
        <f t="shared" si="111"/>
        <v>44572239</v>
      </c>
      <c r="N526" s="83">
        <f t="shared" si="111"/>
        <v>4624</v>
      </c>
      <c r="O526" s="83">
        <f t="shared" si="111"/>
        <v>4061790</v>
      </c>
      <c r="P526" s="83">
        <f t="shared" si="111"/>
        <v>4344</v>
      </c>
      <c r="Q526" s="83">
        <f t="shared" si="111"/>
        <v>11730214</v>
      </c>
      <c r="R526" s="83">
        <f t="shared" si="111"/>
        <v>1280</v>
      </c>
      <c r="S526" s="83">
        <f t="shared" si="111"/>
        <v>759878</v>
      </c>
      <c r="T526" s="83">
        <f t="shared" si="111"/>
        <v>5300</v>
      </c>
      <c r="U526" s="83">
        <f t="shared" si="111"/>
        <v>40249913</v>
      </c>
      <c r="V526" s="83">
        <f t="shared" si="111"/>
        <v>0</v>
      </c>
      <c r="W526" s="83">
        <f t="shared" si="111"/>
        <v>7696810</v>
      </c>
      <c r="X526" s="83">
        <f t="shared" si="111"/>
        <v>0</v>
      </c>
      <c r="Y526" s="14"/>
      <c r="Z526" s="12"/>
      <c r="AA526" s="12"/>
      <c r="AB526" s="12"/>
      <c r="AC526" s="12"/>
    </row>
    <row r="527" spans="1:29" ht="12.75" customHeight="1">
      <c r="A527" s="133" t="s">
        <v>641</v>
      </c>
      <c r="B527" s="133"/>
      <c r="C527" s="133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3"/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  <c r="Y527" s="14"/>
      <c r="Z527" s="12"/>
      <c r="AB527" s="12"/>
      <c r="AC527" s="12"/>
    </row>
    <row r="528" spans="1:29" ht="12.75" customHeight="1">
      <c r="A528" s="132" t="s">
        <v>642</v>
      </c>
      <c r="B528" s="132"/>
      <c r="C528" s="132"/>
      <c r="D528" s="127"/>
      <c r="E528" s="127"/>
      <c r="F528" s="127"/>
      <c r="G528" s="127"/>
      <c r="H528" s="127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7"/>
      <c r="W528" s="127"/>
      <c r="X528" s="127"/>
      <c r="Y528" s="14"/>
      <c r="Z528" s="12"/>
      <c r="AB528" s="12"/>
      <c r="AC528" s="12"/>
    </row>
    <row r="529" spans="1:29" ht="12.75" customHeight="1">
      <c r="A529" s="96">
        <f>A524+1</f>
        <v>411</v>
      </c>
      <c r="B529" s="88" t="s">
        <v>426</v>
      </c>
      <c r="C529" s="97">
        <f>D529+K529+M529+O529+Q529+S529+U529+V529+W529+X529</f>
        <v>1465542</v>
      </c>
      <c r="D529" s="86">
        <f>E529+F529+G529+H529+I529</f>
        <v>0</v>
      </c>
      <c r="E529" s="81"/>
      <c r="F529" s="81"/>
      <c r="G529" s="81"/>
      <c r="H529" s="81"/>
      <c r="I529" s="81"/>
      <c r="J529" s="81"/>
      <c r="K529" s="81"/>
      <c r="L529" s="86">
        <v>832</v>
      </c>
      <c r="M529" s="86">
        <v>1465542</v>
      </c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14"/>
      <c r="Z529" s="12"/>
      <c r="AB529" s="12"/>
      <c r="AC529" s="12"/>
    </row>
    <row r="530" spans="1:29" ht="12.75" customHeight="1">
      <c r="A530" s="95">
        <f>A529+1</f>
        <v>412</v>
      </c>
      <c r="B530" s="88" t="s">
        <v>427</v>
      </c>
      <c r="C530" s="97">
        <f>D530+K530+M530+O530+Q530+S530+U530+V530+W530+X530</f>
        <v>2179773</v>
      </c>
      <c r="D530" s="86">
        <f>E530+F530+G530+H530+I530</f>
        <v>0</v>
      </c>
      <c r="E530" s="81"/>
      <c r="F530" s="81"/>
      <c r="G530" s="81"/>
      <c r="H530" s="81"/>
      <c r="I530" s="81"/>
      <c r="J530" s="81"/>
      <c r="K530" s="81"/>
      <c r="L530" s="86">
        <v>1256</v>
      </c>
      <c r="M530" s="86">
        <v>2179773</v>
      </c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14"/>
      <c r="Z530" s="12"/>
      <c r="AB530" s="12"/>
      <c r="AC530" s="12"/>
    </row>
    <row r="531" spans="1:31" s="253" customFormat="1" ht="22.5" customHeight="1">
      <c r="A531" s="95">
        <f>A530+1</f>
        <v>413</v>
      </c>
      <c r="B531" s="248" t="s">
        <v>761</v>
      </c>
      <c r="C531" s="97">
        <f>D531+K531+M531+O531+Q531+S531+U531+V531+W531+X531</f>
        <v>34936102</v>
      </c>
      <c r="D531" s="86">
        <f>E531+F531+G531+H531+I531</f>
        <v>34022225</v>
      </c>
      <c r="E531" s="249">
        <v>5710732</v>
      </c>
      <c r="F531" s="249">
        <v>20399196</v>
      </c>
      <c r="G531" s="249">
        <v>2199702</v>
      </c>
      <c r="H531" s="249">
        <v>5712595</v>
      </c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249">
        <v>913877</v>
      </c>
      <c r="W531" s="97"/>
      <c r="X531" s="255"/>
      <c r="Y531" s="251"/>
      <c r="Z531" s="260"/>
      <c r="AA531" s="260"/>
      <c r="AB531" s="12"/>
      <c r="AC531" s="12"/>
      <c r="AD531" s="260"/>
      <c r="AE531" s="260"/>
    </row>
    <row r="532" spans="1:29" ht="12.75" customHeight="1">
      <c r="A532" s="95">
        <f>A531+1</f>
        <v>414</v>
      </c>
      <c r="B532" s="88" t="s">
        <v>428</v>
      </c>
      <c r="C532" s="97">
        <f>D532+K532+M532+O532+Q532+S532+U532+V532+W532+X532</f>
        <v>1461144</v>
      </c>
      <c r="D532" s="86">
        <f>E532+F532+G532+H532+I532</f>
        <v>0</v>
      </c>
      <c r="E532" s="81"/>
      <c r="F532" s="81"/>
      <c r="G532" s="81"/>
      <c r="H532" s="81"/>
      <c r="I532" s="81"/>
      <c r="J532" s="81"/>
      <c r="K532" s="81"/>
      <c r="L532" s="86">
        <v>840</v>
      </c>
      <c r="M532" s="86">
        <v>1461144</v>
      </c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14"/>
      <c r="Z532" s="12"/>
      <c r="AB532" s="12"/>
      <c r="AC532" s="12"/>
    </row>
    <row r="533" spans="1:29" ht="12.75" customHeight="1">
      <c r="A533" s="130" t="s">
        <v>597</v>
      </c>
      <c r="B533" s="130"/>
      <c r="C533" s="97">
        <f>SUM(C529:C532)</f>
        <v>40042561</v>
      </c>
      <c r="D533" s="97">
        <f aca="true" t="shared" si="112" ref="D533:X533">SUM(D529:D532)</f>
        <v>34022225</v>
      </c>
      <c r="E533" s="97">
        <f t="shared" si="112"/>
        <v>5710732</v>
      </c>
      <c r="F533" s="97">
        <f t="shared" si="112"/>
        <v>20399196</v>
      </c>
      <c r="G533" s="97">
        <f t="shared" si="112"/>
        <v>2199702</v>
      </c>
      <c r="H533" s="97">
        <f t="shared" si="112"/>
        <v>5712595</v>
      </c>
      <c r="I533" s="97">
        <f t="shared" si="112"/>
        <v>0</v>
      </c>
      <c r="J533" s="97">
        <f t="shared" si="112"/>
        <v>0</v>
      </c>
      <c r="K533" s="97">
        <f t="shared" si="112"/>
        <v>0</v>
      </c>
      <c r="L533" s="97">
        <f t="shared" si="112"/>
        <v>2928</v>
      </c>
      <c r="M533" s="97">
        <f t="shared" si="112"/>
        <v>5106459</v>
      </c>
      <c r="N533" s="97">
        <f t="shared" si="112"/>
        <v>0</v>
      </c>
      <c r="O533" s="97">
        <f t="shared" si="112"/>
        <v>0</v>
      </c>
      <c r="P533" s="97">
        <f t="shared" si="112"/>
        <v>0</v>
      </c>
      <c r="Q533" s="97">
        <f t="shared" si="112"/>
        <v>0</v>
      </c>
      <c r="R533" s="97">
        <f t="shared" si="112"/>
        <v>0</v>
      </c>
      <c r="S533" s="97">
        <f t="shared" si="112"/>
        <v>0</v>
      </c>
      <c r="T533" s="97">
        <f t="shared" si="112"/>
        <v>0</v>
      </c>
      <c r="U533" s="97">
        <f t="shared" si="112"/>
        <v>0</v>
      </c>
      <c r="V533" s="97">
        <f t="shared" si="112"/>
        <v>913877</v>
      </c>
      <c r="W533" s="97">
        <f t="shared" si="112"/>
        <v>0</v>
      </c>
      <c r="X533" s="97">
        <f t="shared" si="112"/>
        <v>0</v>
      </c>
      <c r="Y533" s="14"/>
      <c r="Z533" s="12"/>
      <c r="AA533" s="12"/>
      <c r="AB533" s="12"/>
      <c r="AC533" s="12"/>
    </row>
    <row r="534" spans="1:29" s="25" customFormat="1" ht="18" customHeight="1">
      <c r="A534" s="123" t="s">
        <v>687</v>
      </c>
      <c r="B534" s="123"/>
      <c r="C534" s="123"/>
      <c r="D534" s="127"/>
      <c r="E534" s="127"/>
      <c r="F534" s="127"/>
      <c r="G534" s="127"/>
      <c r="H534" s="127"/>
      <c r="I534" s="127"/>
      <c r="J534" s="127"/>
      <c r="K534" s="127"/>
      <c r="L534" s="127"/>
      <c r="M534" s="127"/>
      <c r="N534" s="127"/>
      <c r="O534" s="127"/>
      <c r="P534" s="127"/>
      <c r="Q534" s="127"/>
      <c r="R534" s="127"/>
      <c r="S534" s="127"/>
      <c r="T534" s="127"/>
      <c r="U534" s="127"/>
      <c r="V534" s="127"/>
      <c r="W534" s="127"/>
      <c r="X534" s="127"/>
      <c r="Y534" s="14"/>
      <c r="Z534" s="12"/>
      <c r="AB534" s="12"/>
      <c r="AC534" s="12"/>
    </row>
    <row r="535" spans="1:29" s="25" customFormat="1" ht="13.5" customHeight="1">
      <c r="A535" s="35">
        <f>A532+1</f>
        <v>415</v>
      </c>
      <c r="B535" s="82" t="s">
        <v>429</v>
      </c>
      <c r="C535" s="97">
        <f>D535+K535+M535+O535+Q535+S535+U535+V535+W535+X535</f>
        <v>10981014</v>
      </c>
      <c r="D535" s="86">
        <f>E535+F535+G535+H535+I535</f>
        <v>0</v>
      </c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6">
        <v>2780</v>
      </c>
      <c r="U535" s="86">
        <v>10981014</v>
      </c>
      <c r="V535" s="81"/>
      <c r="W535" s="81"/>
      <c r="X535" s="81"/>
      <c r="Y535" s="14"/>
      <c r="Z535" s="12"/>
      <c r="AB535" s="12"/>
      <c r="AC535" s="12"/>
    </row>
    <row r="536" spans="1:29" s="26" customFormat="1" ht="15" customHeight="1">
      <c r="A536" s="130" t="s">
        <v>597</v>
      </c>
      <c r="B536" s="130"/>
      <c r="C536" s="97">
        <f aca="true" t="shared" si="113" ref="C536:X536">SUM(C535:C535)</f>
        <v>10981014</v>
      </c>
      <c r="D536" s="97">
        <f t="shared" si="113"/>
        <v>0</v>
      </c>
      <c r="E536" s="97">
        <f t="shared" si="113"/>
        <v>0</v>
      </c>
      <c r="F536" s="97">
        <f t="shared" si="113"/>
        <v>0</v>
      </c>
      <c r="G536" s="97">
        <f t="shared" si="113"/>
        <v>0</v>
      </c>
      <c r="H536" s="97">
        <f t="shared" si="113"/>
        <v>0</v>
      </c>
      <c r="I536" s="97">
        <f t="shared" si="113"/>
        <v>0</v>
      </c>
      <c r="J536" s="97">
        <f t="shared" si="113"/>
        <v>0</v>
      </c>
      <c r="K536" s="97">
        <f t="shared" si="113"/>
        <v>0</v>
      </c>
      <c r="L536" s="97">
        <f t="shared" si="113"/>
        <v>0</v>
      </c>
      <c r="M536" s="97">
        <f t="shared" si="113"/>
        <v>0</v>
      </c>
      <c r="N536" s="97">
        <f t="shared" si="113"/>
        <v>0</v>
      </c>
      <c r="O536" s="97">
        <f t="shared" si="113"/>
        <v>0</v>
      </c>
      <c r="P536" s="97">
        <f t="shared" si="113"/>
        <v>0</v>
      </c>
      <c r="Q536" s="97">
        <f t="shared" si="113"/>
        <v>0</v>
      </c>
      <c r="R536" s="97">
        <f t="shared" si="113"/>
        <v>0</v>
      </c>
      <c r="S536" s="97">
        <f t="shared" si="113"/>
        <v>0</v>
      </c>
      <c r="T536" s="97">
        <f t="shared" si="113"/>
        <v>2780</v>
      </c>
      <c r="U536" s="97">
        <f t="shared" si="113"/>
        <v>10981014</v>
      </c>
      <c r="V536" s="97">
        <f t="shared" si="113"/>
        <v>0</v>
      </c>
      <c r="W536" s="97">
        <f t="shared" si="113"/>
        <v>0</v>
      </c>
      <c r="X536" s="97">
        <f t="shared" si="113"/>
        <v>0</v>
      </c>
      <c r="Y536" s="14"/>
      <c r="Z536" s="12"/>
      <c r="AA536" s="12"/>
      <c r="AB536" s="12"/>
      <c r="AC536" s="12"/>
    </row>
    <row r="537" spans="1:29" ht="12.75" customHeight="1">
      <c r="A537" s="123" t="s">
        <v>643</v>
      </c>
      <c r="B537" s="123"/>
      <c r="C537" s="123"/>
      <c r="D537" s="127"/>
      <c r="E537" s="127"/>
      <c r="F537" s="127"/>
      <c r="G537" s="127"/>
      <c r="H537" s="127"/>
      <c r="I537" s="127"/>
      <c r="J537" s="127"/>
      <c r="K537" s="127"/>
      <c r="L537" s="127"/>
      <c r="M537" s="127"/>
      <c r="N537" s="127"/>
      <c r="O537" s="127"/>
      <c r="P537" s="127"/>
      <c r="Q537" s="127"/>
      <c r="R537" s="127"/>
      <c r="S537" s="127"/>
      <c r="T537" s="127"/>
      <c r="U537" s="127"/>
      <c r="V537" s="127"/>
      <c r="W537" s="127"/>
      <c r="X537" s="127"/>
      <c r="Y537" s="14"/>
      <c r="Z537" s="12"/>
      <c r="AB537" s="12"/>
      <c r="AC537" s="12"/>
    </row>
    <row r="538" spans="1:29" ht="12.75" customHeight="1">
      <c r="A538" s="96">
        <f>A535+1</f>
        <v>416</v>
      </c>
      <c r="B538" s="49" t="s">
        <v>412</v>
      </c>
      <c r="C538" s="97">
        <f>D538+K538+M538+O538+Q538+S538+U538+V538+W538+X538</f>
        <v>12995717</v>
      </c>
      <c r="D538" s="86">
        <f>E538+F538+G538+H538+I538</f>
        <v>0</v>
      </c>
      <c r="E538" s="97"/>
      <c r="F538" s="97"/>
      <c r="G538" s="97"/>
      <c r="H538" s="97"/>
      <c r="I538" s="97"/>
      <c r="J538" s="97"/>
      <c r="K538" s="97"/>
      <c r="L538" s="97">
        <v>1372</v>
      </c>
      <c r="M538" s="97">
        <v>1725909</v>
      </c>
      <c r="N538" s="97"/>
      <c r="O538" s="97"/>
      <c r="P538" s="97">
        <v>2563</v>
      </c>
      <c r="Q538" s="97">
        <v>1230587</v>
      </c>
      <c r="R538" s="97"/>
      <c r="S538" s="97"/>
      <c r="T538" s="97">
        <v>2563</v>
      </c>
      <c r="U538" s="97">
        <v>10039221</v>
      </c>
      <c r="V538" s="97"/>
      <c r="W538" s="97"/>
      <c r="X538" s="97"/>
      <c r="Y538" s="14"/>
      <c r="Z538" s="12"/>
      <c r="AB538" s="12"/>
      <c r="AC538" s="12"/>
    </row>
    <row r="539" spans="1:29" ht="12.75" customHeight="1">
      <c r="A539" s="96">
        <f>A538+1</f>
        <v>417</v>
      </c>
      <c r="B539" s="49" t="s">
        <v>413</v>
      </c>
      <c r="C539" s="97">
        <f>D539+K539+M539+O539+Q539+S539+U539+V539+W539+X539</f>
        <v>2106617</v>
      </c>
      <c r="D539" s="86">
        <f>E539+F539+G539+H539+I539</f>
        <v>0</v>
      </c>
      <c r="E539" s="97"/>
      <c r="F539" s="97"/>
      <c r="G539" s="97"/>
      <c r="H539" s="97"/>
      <c r="I539" s="97"/>
      <c r="J539" s="96"/>
      <c r="K539" s="97"/>
      <c r="L539" s="97">
        <v>1598</v>
      </c>
      <c r="M539" s="97">
        <v>2106617</v>
      </c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14"/>
      <c r="Z539" s="12"/>
      <c r="AB539" s="12"/>
      <c r="AC539" s="12"/>
    </row>
    <row r="540" spans="1:29" ht="12.75" customHeight="1">
      <c r="A540" s="130" t="s">
        <v>597</v>
      </c>
      <c r="B540" s="130"/>
      <c r="C540" s="97">
        <f>SUM(C538:C539)</f>
        <v>15102334</v>
      </c>
      <c r="D540" s="97">
        <f aca="true" t="shared" si="114" ref="D540:X540">SUM(D538:D539)</f>
        <v>0</v>
      </c>
      <c r="E540" s="97">
        <f t="shared" si="114"/>
        <v>0</v>
      </c>
      <c r="F540" s="97">
        <f t="shared" si="114"/>
        <v>0</v>
      </c>
      <c r="G540" s="97">
        <f t="shared" si="114"/>
        <v>0</v>
      </c>
      <c r="H540" s="97">
        <f t="shared" si="114"/>
        <v>0</v>
      </c>
      <c r="I540" s="97">
        <f t="shared" si="114"/>
        <v>0</v>
      </c>
      <c r="J540" s="97">
        <f t="shared" si="114"/>
        <v>0</v>
      </c>
      <c r="K540" s="97">
        <f t="shared" si="114"/>
        <v>0</v>
      </c>
      <c r="L540" s="97">
        <f t="shared" si="114"/>
        <v>2970</v>
      </c>
      <c r="M540" s="97">
        <f t="shared" si="114"/>
        <v>3832526</v>
      </c>
      <c r="N540" s="97">
        <f t="shared" si="114"/>
        <v>0</v>
      </c>
      <c r="O540" s="97">
        <f t="shared" si="114"/>
        <v>0</v>
      </c>
      <c r="P540" s="97">
        <f t="shared" si="114"/>
        <v>2563</v>
      </c>
      <c r="Q540" s="97">
        <f t="shared" si="114"/>
        <v>1230587</v>
      </c>
      <c r="R540" s="97">
        <f t="shared" si="114"/>
        <v>0</v>
      </c>
      <c r="S540" s="97">
        <f t="shared" si="114"/>
        <v>0</v>
      </c>
      <c r="T540" s="97">
        <f t="shared" si="114"/>
        <v>2563</v>
      </c>
      <c r="U540" s="97">
        <f t="shared" si="114"/>
        <v>10039221</v>
      </c>
      <c r="V540" s="97">
        <f t="shared" si="114"/>
        <v>0</v>
      </c>
      <c r="W540" s="97">
        <f t="shared" si="114"/>
        <v>0</v>
      </c>
      <c r="X540" s="97">
        <f t="shared" si="114"/>
        <v>0</v>
      </c>
      <c r="Y540" s="14"/>
      <c r="Z540" s="12"/>
      <c r="AA540" s="12"/>
      <c r="AB540" s="12"/>
      <c r="AC540" s="12"/>
    </row>
    <row r="541" spans="1:29" ht="16.5" customHeight="1">
      <c r="A541" s="123" t="s">
        <v>644</v>
      </c>
      <c r="B541" s="123"/>
      <c r="C541" s="123"/>
      <c r="D541" s="127"/>
      <c r="E541" s="127"/>
      <c r="F541" s="127"/>
      <c r="G541" s="127"/>
      <c r="H541" s="127"/>
      <c r="I541" s="127"/>
      <c r="J541" s="127"/>
      <c r="K541" s="127"/>
      <c r="L541" s="127"/>
      <c r="M541" s="127"/>
      <c r="N541" s="127"/>
      <c r="O541" s="127"/>
      <c r="P541" s="127"/>
      <c r="Q541" s="127"/>
      <c r="R541" s="127"/>
      <c r="S541" s="127"/>
      <c r="T541" s="127"/>
      <c r="U541" s="127"/>
      <c r="V541" s="127"/>
      <c r="W541" s="127"/>
      <c r="X541" s="127"/>
      <c r="Y541" s="14"/>
      <c r="Z541" s="12"/>
      <c r="AA541" s="12"/>
      <c r="AB541" s="12"/>
      <c r="AC541" s="12"/>
    </row>
    <row r="542" spans="1:29" ht="16.5" customHeight="1">
      <c r="A542" s="96">
        <f>A539+1</f>
        <v>418</v>
      </c>
      <c r="B542" s="13" t="s">
        <v>419</v>
      </c>
      <c r="C542" s="97">
        <f>D542+K542+M542+O542+Q542+S542+U542+V542+W542+X542</f>
        <v>512898</v>
      </c>
      <c r="D542" s="86">
        <f>E542+F542+G542+H542+I542</f>
        <v>0</v>
      </c>
      <c r="E542" s="97"/>
      <c r="F542" s="97"/>
      <c r="G542" s="97"/>
      <c r="H542" s="97"/>
      <c r="I542" s="97"/>
      <c r="J542" s="97"/>
      <c r="K542" s="97"/>
      <c r="L542" s="97">
        <v>418.3</v>
      </c>
      <c r="M542" s="97">
        <f>512898</f>
        <v>512898</v>
      </c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14"/>
      <c r="Z542" s="12"/>
      <c r="AA542" s="12"/>
      <c r="AB542" s="12"/>
      <c r="AC542" s="12"/>
    </row>
    <row r="543" spans="1:29" ht="16.5" customHeight="1">
      <c r="A543" s="96">
        <f>A542+1</f>
        <v>419</v>
      </c>
      <c r="B543" s="13" t="s">
        <v>420</v>
      </c>
      <c r="C543" s="97">
        <f>D543+K543+M543+O543+Q543+S543+U543+V543+W543+X543</f>
        <v>512898</v>
      </c>
      <c r="D543" s="86">
        <f>E543+F543+G543+H543+I543</f>
        <v>0</v>
      </c>
      <c r="E543" s="97"/>
      <c r="F543" s="97"/>
      <c r="G543" s="97"/>
      <c r="H543" s="97"/>
      <c r="I543" s="97"/>
      <c r="J543" s="97"/>
      <c r="K543" s="97"/>
      <c r="L543" s="97">
        <v>418.3</v>
      </c>
      <c r="M543" s="97">
        <f>512898</f>
        <v>512898</v>
      </c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14"/>
      <c r="Z543" s="12"/>
      <c r="AA543" s="12"/>
      <c r="AB543" s="12"/>
      <c r="AC543" s="12"/>
    </row>
    <row r="544" spans="1:29" ht="16.5" customHeight="1">
      <c r="A544" s="96">
        <f>A543+1</f>
        <v>420</v>
      </c>
      <c r="B544" s="13" t="s">
        <v>418</v>
      </c>
      <c r="C544" s="97">
        <f>D544+K544+M544+O544+Q544+S544+U544+V544+W544+X544</f>
        <v>4447416</v>
      </c>
      <c r="D544" s="86">
        <f>E544+F544+G544+H544+I544</f>
        <v>3224600</v>
      </c>
      <c r="E544" s="97"/>
      <c r="F544" s="97">
        <f>1853119</f>
        <v>1853119</v>
      </c>
      <c r="G544" s="97">
        <f>409486</f>
        <v>409486</v>
      </c>
      <c r="H544" s="97">
        <f>839926</f>
        <v>839926</v>
      </c>
      <c r="I544" s="97">
        <f>122069</f>
        <v>122069</v>
      </c>
      <c r="J544" s="97"/>
      <c r="K544" s="97"/>
      <c r="L544" s="97">
        <v>920.7</v>
      </c>
      <c r="M544" s="97">
        <f>1222816</f>
        <v>1222816</v>
      </c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14"/>
      <c r="Z544" s="12"/>
      <c r="AA544" s="12"/>
      <c r="AB544" s="12"/>
      <c r="AC544" s="12"/>
    </row>
    <row r="545" spans="1:29" ht="16.5" customHeight="1">
      <c r="A545" s="130" t="s">
        <v>597</v>
      </c>
      <c r="B545" s="130"/>
      <c r="C545" s="97">
        <f>SUM(C542:C544)</f>
        <v>5473212</v>
      </c>
      <c r="D545" s="97">
        <f aca="true" t="shared" si="115" ref="D545:X545">SUM(D542:D544)</f>
        <v>3224600</v>
      </c>
      <c r="E545" s="97">
        <f t="shared" si="115"/>
        <v>0</v>
      </c>
      <c r="F545" s="97">
        <f t="shared" si="115"/>
        <v>1853119</v>
      </c>
      <c r="G545" s="97">
        <f t="shared" si="115"/>
        <v>409486</v>
      </c>
      <c r="H545" s="97">
        <f t="shared" si="115"/>
        <v>839926</v>
      </c>
      <c r="I545" s="97">
        <f t="shared" si="115"/>
        <v>122069</v>
      </c>
      <c r="J545" s="97">
        <f t="shared" si="115"/>
        <v>0</v>
      </c>
      <c r="K545" s="97">
        <f t="shared" si="115"/>
        <v>0</v>
      </c>
      <c r="L545" s="97">
        <f t="shared" si="115"/>
        <v>1757.3000000000002</v>
      </c>
      <c r="M545" s="97">
        <f t="shared" si="115"/>
        <v>2248612</v>
      </c>
      <c r="N545" s="97">
        <f t="shared" si="115"/>
        <v>0</v>
      </c>
      <c r="O545" s="97">
        <f t="shared" si="115"/>
        <v>0</v>
      </c>
      <c r="P545" s="97">
        <f t="shared" si="115"/>
        <v>0</v>
      </c>
      <c r="Q545" s="97">
        <f t="shared" si="115"/>
        <v>0</v>
      </c>
      <c r="R545" s="97">
        <f t="shared" si="115"/>
        <v>0</v>
      </c>
      <c r="S545" s="97">
        <f t="shared" si="115"/>
        <v>0</v>
      </c>
      <c r="T545" s="97">
        <f t="shared" si="115"/>
        <v>0</v>
      </c>
      <c r="U545" s="97">
        <f t="shared" si="115"/>
        <v>0</v>
      </c>
      <c r="V545" s="97">
        <f t="shared" si="115"/>
        <v>0</v>
      </c>
      <c r="W545" s="97">
        <f t="shared" si="115"/>
        <v>0</v>
      </c>
      <c r="X545" s="97">
        <f t="shared" si="115"/>
        <v>0</v>
      </c>
      <c r="Y545" s="14"/>
      <c r="Z545" s="12"/>
      <c r="AA545" s="12"/>
      <c r="AB545" s="12"/>
      <c r="AC545" s="12"/>
    </row>
    <row r="546" spans="1:29" ht="16.5" customHeight="1">
      <c r="A546" s="140" t="s">
        <v>690</v>
      </c>
      <c r="B546" s="140"/>
      <c r="C546" s="140"/>
      <c r="D546" s="127"/>
      <c r="E546" s="127"/>
      <c r="F546" s="127"/>
      <c r="G546" s="127"/>
      <c r="H546" s="127"/>
      <c r="I546" s="127"/>
      <c r="J546" s="127"/>
      <c r="K546" s="127"/>
      <c r="L546" s="127"/>
      <c r="M546" s="127"/>
      <c r="N546" s="127"/>
      <c r="O546" s="127"/>
      <c r="P546" s="127"/>
      <c r="Q546" s="127"/>
      <c r="R546" s="127"/>
      <c r="S546" s="127"/>
      <c r="T546" s="127"/>
      <c r="U546" s="127"/>
      <c r="V546" s="127"/>
      <c r="W546" s="127"/>
      <c r="X546" s="127"/>
      <c r="Y546" s="14"/>
      <c r="Z546" s="12"/>
      <c r="AA546" s="12"/>
      <c r="AB546" s="12"/>
      <c r="AC546" s="12"/>
    </row>
    <row r="547" spans="1:29" ht="16.5" customHeight="1">
      <c r="A547" s="96">
        <f>A544+1</f>
        <v>421</v>
      </c>
      <c r="B547" s="89" t="s">
        <v>421</v>
      </c>
      <c r="C547" s="97">
        <f>D547+K547+M547+O547+Q547+S547+U547+V547+W547+X547</f>
        <v>241772</v>
      </c>
      <c r="D547" s="86">
        <f>E547+F547+G547+H547+I547</f>
        <v>0</v>
      </c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>
        <f>129374+112398</f>
        <v>241772</v>
      </c>
      <c r="X547" s="97"/>
      <c r="Y547" s="14"/>
      <c r="Z547" s="12"/>
      <c r="AA547" s="12"/>
      <c r="AB547" s="12"/>
      <c r="AC547" s="12"/>
    </row>
    <row r="548" spans="1:29" ht="16.5" customHeight="1">
      <c r="A548" s="96">
        <f>A547+1</f>
        <v>422</v>
      </c>
      <c r="B548" s="89" t="s">
        <v>422</v>
      </c>
      <c r="C548" s="97">
        <f>D548+K548+M548+O548+Q548+S548+U548+V548+W548+X548</f>
        <v>241772</v>
      </c>
      <c r="D548" s="86">
        <f>E548+F548+G548+H548+I548</f>
        <v>0</v>
      </c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>
        <f>129374+112398</f>
        <v>241772</v>
      </c>
      <c r="X548" s="97"/>
      <c r="Y548" s="14"/>
      <c r="Z548" s="12"/>
      <c r="AA548" s="12"/>
      <c r="AB548" s="12"/>
      <c r="AC548" s="12"/>
    </row>
    <row r="549" spans="1:29" ht="16.5" customHeight="1">
      <c r="A549" s="96">
        <f>A548+1</f>
        <v>423</v>
      </c>
      <c r="B549" s="89" t="s">
        <v>423</v>
      </c>
      <c r="C549" s="97">
        <f>D549+K549+M549+O549+Q549+S549+U549+V549+W549+X549</f>
        <v>241772</v>
      </c>
      <c r="D549" s="86">
        <f>E549+F549+G549+H549+I549</f>
        <v>0</v>
      </c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>
        <f>129374+112398</f>
        <v>241772</v>
      </c>
      <c r="X549" s="97"/>
      <c r="Y549" s="14"/>
      <c r="Z549" s="12"/>
      <c r="AA549" s="12"/>
      <c r="AB549" s="12"/>
      <c r="AC549" s="12"/>
    </row>
    <row r="550" spans="1:29" ht="16.5" customHeight="1">
      <c r="A550" s="96">
        <f>A549+1</f>
        <v>424</v>
      </c>
      <c r="B550" s="89" t="s">
        <v>424</v>
      </c>
      <c r="C550" s="97">
        <f>D550+K550+M550+O550+Q550+S550+U550+V550+W550+X550</f>
        <v>3733711</v>
      </c>
      <c r="D550" s="86">
        <f>E550+F550+G550+H550+I550</f>
        <v>0</v>
      </c>
      <c r="E550" s="97"/>
      <c r="F550" s="97"/>
      <c r="G550" s="97"/>
      <c r="H550" s="97"/>
      <c r="I550" s="97"/>
      <c r="J550" s="97"/>
      <c r="K550" s="97"/>
      <c r="L550" s="97">
        <v>912</v>
      </c>
      <c r="M550" s="97">
        <v>3491939</v>
      </c>
      <c r="N550" s="97"/>
      <c r="O550" s="97"/>
      <c r="P550" s="97"/>
      <c r="Q550" s="97"/>
      <c r="R550" s="97"/>
      <c r="S550" s="97"/>
      <c r="T550" s="97"/>
      <c r="U550" s="97"/>
      <c r="V550" s="97"/>
      <c r="W550" s="97">
        <f>129374+112398</f>
        <v>241772</v>
      </c>
      <c r="X550" s="97"/>
      <c r="Y550" s="14"/>
      <c r="Z550" s="12"/>
      <c r="AA550" s="12"/>
      <c r="AB550" s="12"/>
      <c r="AC550" s="12"/>
    </row>
    <row r="551" spans="1:29" ht="16.5" customHeight="1">
      <c r="A551" s="96">
        <f>A550+1</f>
        <v>425</v>
      </c>
      <c r="B551" s="89" t="s">
        <v>425</v>
      </c>
      <c r="C551" s="97">
        <f>D551+K551+M551+O551+Q551+S551+U551+V551+W551+X551</f>
        <v>241772</v>
      </c>
      <c r="D551" s="86">
        <f>E551+F551+G551+H551+I551</f>
        <v>0</v>
      </c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>
        <f>129374+112398</f>
        <v>241772</v>
      </c>
      <c r="X551" s="97"/>
      <c r="Y551" s="14"/>
      <c r="Z551" s="12"/>
      <c r="AA551" s="12"/>
      <c r="AB551" s="12"/>
      <c r="AC551" s="12"/>
    </row>
    <row r="552" spans="1:29" ht="16.5" customHeight="1">
      <c r="A552" s="130" t="s">
        <v>597</v>
      </c>
      <c r="B552" s="130"/>
      <c r="C552" s="97">
        <f>SUM(C547:C551)</f>
        <v>4700799</v>
      </c>
      <c r="D552" s="97">
        <f aca="true" t="shared" si="116" ref="D552:X552">SUM(D547:D551)</f>
        <v>0</v>
      </c>
      <c r="E552" s="97">
        <f t="shared" si="116"/>
        <v>0</v>
      </c>
      <c r="F552" s="97">
        <f t="shared" si="116"/>
        <v>0</v>
      </c>
      <c r="G552" s="97">
        <f t="shared" si="116"/>
        <v>0</v>
      </c>
      <c r="H552" s="97">
        <f t="shared" si="116"/>
        <v>0</v>
      </c>
      <c r="I552" s="97">
        <f t="shared" si="116"/>
        <v>0</v>
      </c>
      <c r="J552" s="97">
        <f t="shared" si="116"/>
        <v>0</v>
      </c>
      <c r="K552" s="97">
        <f t="shared" si="116"/>
        <v>0</v>
      </c>
      <c r="L552" s="97">
        <f t="shared" si="116"/>
        <v>912</v>
      </c>
      <c r="M552" s="97">
        <f t="shared" si="116"/>
        <v>3491939</v>
      </c>
      <c r="N552" s="97">
        <f t="shared" si="116"/>
        <v>0</v>
      </c>
      <c r="O552" s="97">
        <f t="shared" si="116"/>
        <v>0</v>
      </c>
      <c r="P552" s="97">
        <f t="shared" si="116"/>
        <v>0</v>
      </c>
      <c r="Q552" s="97">
        <f t="shared" si="116"/>
        <v>0</v>
      </c>
      <c r="R552" s="97">
        <f t="shared" si="116"/>
        <v>0</v>
      </c>
      <c r="S552" s="97">
        <f t="shared" si="116"/>
        <v>0</v>
      </c>
      <c r="T552" s="97">
        <f t="shared" si="116"/>
        <v>0</v>
      </c>
      <c r="U552" s="97">
        <f t="shared" si="116"/>
        <v>0</v>
      </c>
      <c r="V552" s="97">
        <f t="shared" si="116"/>
        <v>0</v>
      </c>
      <c r="W552" s="97">
        <f t="shared" si="116"/>
        <v>1208860</v>
      </c>
      <c r="X552" s="97">
        <f t="shared" si="116"/>
        <v>0</v>
      </c>
      <c r="Y552" s="14"/>
      <c r="Z552" s="12"/>
      <c r="AA552" s="12"/>
      <c r="AB552" s="12"/>
      <c r="AC552" s="12"/>
    </row>
    <row r="553" spans="1:29" ht="15" customHeight="1">
      <c r="A553" s="123" t="s">
        <v>689</v>
      </c>
      <c r="B553" s="123"/>
      <c r="C553" s="123"/>
      <c r="D553" s="127"/>
      <c r="E553" s="127"/>
      <c r="F553" s="127"/>
      <c r="G553" s="127"/>
      <c r="H553" s="127"/>
      <c r="I553" s="127"/>
      <c r="J553" s="127"/>
      <c r="K553" s="127"/>
      <c r="L553" s="127"/>
      <c r="M553" s="127"/>
      <c r="N553" s="127"/>
      <c r="O553" s="127"/>
      <c r="P553" s="127"/>
      <c r="Q553" s="127"/>
      <c r="R553" s="127"/>
      <c r="S553" s="127"/>
      <c r="T553" s="127"/>
      <c r="U553" s="127"/>
      <c r="V553" s="127"/>
      <c r="W553" s="127"/>
      <c r="X553" s="127"/>
      <c r="Y553" s="14"/>
      <c r="Z553" s="12"/>
      <c r="AA553" s="12"/>
      <c r="AB553" s="12"/>
      <c r="AC553" s="12"/>
    </row>
    <row r="554" spans="1:29" ht="16.5" customHeight="1">
      <c r="A554" s="10">
        <f>A551+1</f>
        <v>426</v>
      </c>
      <c r="B554" s="13" t="s">
        <v>416</v>
      </c>
      <c r="C554" s="97">
        <f>D554+K554+M554+O554+Q554+S554+U554+V554+W554+X554</f>
        <v>2529620</v>
      </c>
      <c r="D554" s="86">
        <f>E554+F554+G554+H554+I554</f>
        <v>0</v>
      </c>
      <c r="E554" s="97"/>
      <c r="F554" s="97"/>
      <c r="G554" s="97"/>
      <c r="H554" s="97"/>
      <c r="I554" s="97"/>
      <c r="J554" s="97"/>
      <c r="K554" s="97"/>
      <c r="L554" s="97">
        <v>364.7</v>
      </c>
      <c r="M554" s="97">
        <v>681697</v>
      </c>
      <c r="N554" s="97"/>
      <c r="O554" s="97"/>
      <c r="P554" s="97">
        <v>481</v>
      </c>
      <c r="Q554" s="97">
        <f>1600895+247028</f>
        <v>1847923</v>
      </c>
      <c r="R554" s="97"/>
      <c r="S554" s="97"/>
      <c r="T554" s="97"/>
      <c r="U554" s="97"/>
      <c r="V554" s="97"/>
      <c r="W554" s="97"/>
      <c r="X554" s="97"/>
      <c r="Y554" s="14"/>
      <c r="Z554" s="12"/>
      <c r="AA554" s="12"/>
      <c r="AB554" s="12"/>
      <c r="AC554" s="12"/>
    </row>
    <row r="555" spans="1:29" ht="16.5" customHeight="1">
      <c r="A555" s="10">
        <f>A554+1</f>
        <v>427</v>
      </c>
      <c r="B555" s="13" t="s">
        <v>417</v>
      </c>
      <c r="C555" s="97">
        <f>D555+K555+M555+O555+Q555+S555+U555+V555+W555+X555</f>
        <v>765079</v>
      </c>
      <c r="D555" s="86">
        <f>E555+F555+G555+H555+I555</f>
        <v>0</v>
      </c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>
        <f>198504+224160+224160+118255</f>
        <v>765079</v>
      </c>
      <c r="X555" s="97"/>
      <c r="Y555" s="14"/>
      <c r="Z555" s="12"/>
      <c r="AA555" s="12"/>
      <c r="AB555" s="12"/>
      <c r="AC555" s="12"/>
    </row>
    <row r="556" spans="1:29" ht="16.5" customHeight="1">
      <c r="A556" s="130" t="s">
        <v>597</v>
      </c>
      <c r="B556" s="130"/>
      <c r="C556" s="97">
        <f>SUM(C554:C555)</f>
        <v>3294699</v>
      </c>
      <c r="D556" s="97">
        <f aca="true" t="shared" si="117" ref="D556:X556">SUM(D554:D555)</f>
        <v>0</v>
      </c>
      <c r="E556" s="97">
        <f t="shared" si="117"/>
        <v>0</v>
      </c>
      <c r="F556" s="97">
        <f t="shared" si="117"/>
        <v>0</v>
      </c>
      <c r="G556" s="97">
        <f t="shared" si="117"/>
        <v>0</v>
      </c>
      <c r="H556" s="97">
        <f t="shared" si="117"/>
        <v>0</v>
      </c>
      <c r="I556" s="97">
        <f t="shared" si="117"/>
        <v>0</v>
      </c>
      <c r="J556" s="97">
        <f t="shared" si="117"/>
        <v>0</v>
      </c>
      <c r="K556" s="97">
        <f t="shared" si="117"/>
        <v>0</v>
      </c>
      <c r="L556" s="97">
        <f t="shared" si="117"/>
        <v>364.7</v>
      </c>
      <c r="M556" s="97">
        <f t="shared" si="117"/>
        <v>681697</v>
      </c>
      <c r="N556" s="97">
        <f t="shared" si="117"/>
        <v>0</v>
      </c>
      <c r="O556" s="97">
        <f t="shared" si="117"/>
        <v>0</v>
      </c>
      <c r="P556" s="97">
        <f t="shared" si="117"/>
        <v>481</v>
      </c>
      <c r="Q556" s="97">
        <f t="shared" si="117"/>
        <v>1847923</v>
      </c>
      <c r="R556" s="97">
        <f t="shared" si="117"/>
        <v>0</v>
      </c>
      <c r="S556" s="97">
        <f t="shared" si="117"/>
        <v>0</v>
      </c>
      <c r="T556" s="97">
        <f t="shared" si="117"/>
        <v>0</v>
      </c>
      <c r="U556" s="97">
        <f t="shared" si="117"/>
        <v>0</v>
      </c>
      <c r="V556" s="97">
        <f t="shared" si="117"/>
        <v>0</v>
      </c>
      <c r="W556" s="97">
        <f t="shared" si="117"/>
        <v>765079</v>
      </c>
      <c r="X556" s="97">
        <f t="shared" si="117"/>
        <v>0</v>
      </c>
      <c r="Y556" s="14"/>
      <c r="Z556" s="12"/>
      <c r="AA556" s="12"/>
      <c r="AB556" s="12"/>
      <c r="AC556" s="12"/>
    </row>
    <row r="557" spans="1:29" ht="19.5" customHeight="1">
      <c r="A557" s="123" t="s">
        <v>688</v>
      </c>
      <c r="B557" s="123"/>
      <c r="C557" s="123"/>
      <c r="D557" s="127"/>
      <c r="E557" s="127"/>
      <c r="F557" s="127"/>
      <c r="G557" s="127"/>
      <c r="H557" s="127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  <c r="S557" s="127"/>
      <c r="T557" s="127"/>
      <c r="U557" s="127"/>
      <c r="V557" s="127"/>
      <c r="W557" s="127"/>
      <c r="X557" s="127"/>
      <c r="Y557" s="14"/>
      <c r="Z557" s="12"/>
      <c r="AB557" s="12"/>
      <c r="AC557" s="12"/>
    </row>
    <row r="558" spans="1:29" ht="15" customHeight="1">
      <c r="A558" s="10">
        <f>A555+1</f>
        <v>428</v>
      </c>
      <c r="B558" s="13" t="s">
        <v>415</v>
      </c>
      <c r="C558" s="97">
        <f>D558+K558+M558+O558+Q558+S558+U558+V558+W558+X558</f>
        <v>994768</v>
      </c>
      <c r="D558" s="86">
        <f>E558+F558+G558+H558+I558</f>
        <v>0</v>
      </c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>
        <v>523</v>
      </c>
      <c r="Q558" s="97">
        <f>994768</f>
        <v>994768</v>
      </c>
      <c r="R558" s="97"/>
      <c r="S558" s="97"/>
      <c r="T558" s="97"/>
      <c r="U558" s="97"/>
      <c r="V558" s="97"/>
      <c r="W558" s="97"/>
      <c r="X558" s="97"/>
      <c r="Y558" s="14"/>
      <c r="Z558" s="12"/>
      <c r="AA558" s="12"/>
      <c r="AB558" s="12"/>
      <c r="AC558" s="12"/>
    </row>
    <row r="559" spans="1:29" ht="15" customHeight="1">
      <c r="A559" s="10">
        <f>A558+1</f>
        <v>429</v>
      </c>
      <c r="B559" s="13" t="s">
        <v>414</v>
      </c>
      <c r="C559" s="97">
        <f>D559+K559+M559+O559+Q559+S559+U559+V559+W559+X559</f>
        <v>966976</v>
      </c>
      <c r="D559" s="86">
        <f>E559+F559+G559+H559+I559</f>
        <v>0</v>
      </c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>
        <v>523</v>
      </c>
      <c r="Q559" s="97">
        <f>884880</f>
        <v>884880</v>
      </c>
      <c r="R559" s="97"/>
      <c r="S559" s="97"/>
      <c r="T559" s="97"/>
      <c r="U559" s="97"/>
      <c r="V559" s="97"/>
      <c r="W559" s="97">
        <v>82096</v>
      </c>
      <c r="X559" s="97"/>
      <c r="Y559" s="14"/>
      <c r="Z559" s="12"/>
      <c r="AA559" s="12"/>
      <c r="AB559" s="12"/>
      <c r="AC559" s="12"/>
    </row>
    <row r="560" spans="1:30" s="253" customFormat="1" ht="12.75">
      <c r="A560" s="10">
        <f>A559+1</f>
        <v>430</v>
      </c>
      <c r="B560" s="82" t="s">
        <v>762</v>
      </c>
      <c r="C560" s="97">
        <f>D560+K560+M560+O560+Q560+S560+U560+V560+W560</f>
        <v>230790</v>
      </c>
      <c r="D560" s="86">
        <f>E560+F560+G560+H560+I560</f>
        <v>230790</v>
      </c>
      <c r="E560" s="249">
        <v>230790</v>
      </c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250"/>
      <c r="Y560" s="251"/>
      <c r="Z560" s="261"/>
      <c r="AA560" s="261"/>
      <c r="AB560" s="12"/>
      <c r="AC560" s="12"/>
      <c r="AD560" s="261"/>
    </row>
    <row r="561" spans="1:30" s="253" customFormat="1" ht="12.75">
      <c r="A561" s="10">
        <f>A560+1</f>
        <v>431</v>
      </c>
      <c r="B561" s="82" t="s">
        <v>763</v>
      </c>
      <c r="C561" s="97">
        <f>D561+K561+M561+O561+Q561+S561+U561+V561+W561</f>
        <v>476079</v>
      </c>
      <c r="D561" s="86">
        <f>E561+F561+G561+H561+I561</f>
        <v>476079</v>
      </c>
      <c r="E561" s="249">
        <v>476079</v>
      </c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250"/>
      <c r="Y561" s="251"/>
      <c r="Z561" s="261"/>
      <c r="AA561" s="261"/>
      <c r="AB561" s="12"/>
      <c r="AC561" s="12"/>
      <c r="AD561" s="261"/>
    </row>
    <row r="562" spans="1:29" ht="15" customHeight="1">
      <c r="A562" s="130" t="s">
        <v>597</v>
      </c>
      <c r="B562" s="130"/>
      <c r="C562" s="97">
        <f>SUM(C558:C561)</f>
        <v>2668613</v>
      </c>
      <c r="D562" s="97">
        <f aca="true" t="shared" si="118" ref="D562:X562">SUM(D558:D561)</f>
        <v>706869</v>
      </c>
      <c r="E562" s="97">
        <f t="shared" si="118"/>
        <v>706869</v>
      </c>
      <c r="F562" s="97">
        <f t="shared" si="118"/>
        <v>0</v>
      </c>
      <c r="G562" s="97">
        <f t="shared" si="118"/>
        <v>0</v>
      </c>
      <c r="H562" s="97">
        <f t="shared" si="118"/>
        <v>0</v>
      </c>
      <c r="I562" s="97">
        <f t="shared" si="118"/>
        <v>0</v>
      </c>
      <c r="J562" s="97">
        <f t="shared" si="118"/>
        <v>0</v>
      </c>
      <c r="K562" s="97">
        <f t="shared" si="118"/>
        <v>0</v>
      </c>
      <c r="L562" s="97">
        <f t="shared" si="118"/>
        <v>0</v>
      </c>
      <c r="M562" s="97">
        <f t="shared" si="118"/>
        <v>0</v>
      </c>
      <c r="N562" s="97">
        <f t="shared" si="118"/>
        <v>0</v>
      </c>
      <c r="O562" s="97">
        <f t="shared" si="118"/>
        <v>0</v>
      </c>
      <c r="P562" s="97">
        <f t="shared" si="118"/>
        <v>1046</v>
      </c>
      <c r="Q562" s="97">
        <f t="shared" si="118"/>
        <v>1879648</v>
      </c>
      <c r="R562" s="97">
        <f t="shared" si="118"/>
        <v>0</v>
      </c>
      <c r="S562" s="97">
        <f t="shared" si="118"/>
        <v>0</v>
      </c>
      <c r="T562" s="97">
        <f t="shared" si="118"/>
        <v>0</v>
      </c>
      <c r="U562" s="97">
        <f t="shared" si="118"/>
        <v>0</v>
      </c>
      <c r="V562" s="97">
        <f t="shared" si="118"/>
        <v>0</v>
      </c>
      <c r="W562" s="97">
        <f t="shared" si="118"/>
        <v>82096</v>
      </c>
      <c r="X562" s="97">
        <f t="shared" si="118"/>
        <v>0</v>
      </c>
      <c r="Y562" s="14"/>
      <c r="Z562" s="12"/>
      <c r="AA562" s="12"/>
      <c r="AB562" s="12"/>
      <c r="AC562" s="12"/>
    </row>
    <row r="563" spans="1:29" s="23" customFormat="1" ht="16.5" customHeight="1">
      <c r="A563" s="123" t="s">
        <v>645</v>
      </c>
      <c r="B563" s="123"/>
      <c r="C563" s="83">
        <f aca="true" t="shared" si="119" ref="C563:X563">C540+C533+C536+C562+C556+C545+C552</f>
        <v>82263232</v>
      </c>
      <c r="D563" s="83">
        <f t="shared" si="119"/>
        <v>37953694</v>
      </c>
      <c r="E563" s="83">
        <f t="shared" si="119"/>
        <v>6417601</v>
      </c>
      <c r="F563" s="83">
        <f t="shared" si="119"/>
        <v>22252315</v>
      </c>
      <c r="G563" s="83">
        <f t="shared" si="119"/>
        <v>2609188</v>
      </c>
      <c r="H563" s="83">
        <f t="shared" si="119"/>
        <v>6552521</v>
      </c>
      <c r="I563" s="83">
        <f t="shared" si="119"/>
        <v>122069</v>
      </c>
      <c r="J563" s="83">
        <f t="shared" si="119"/>
        <v>0</v>
      </c>
      <c r="K563" s="83">
        <f t="shared" si="119"/>
        <v>0</v>
      </c>
      <c r="L563" s="83">
        <f t="shared" si="119"/>
        <v>8932</v>
      </c>
      <c r="M563" s="83">
        <f t="shared" si="119"/>
        <v>15361233</v>
      </c>
      <c r="N563" s="83">
        <f t="shared" si="119"/>
        <v>0</v>
      </c>
      <c r="O563" s="83">
        <f t="shared" si="119"/>
        <v>0</v>
      </c>
      <c r="P563" s="83">
        <f t="shared" si="119"/>
        <v>4090</v>
      </c>
      <c r="Q563" s="83">
        <f t="shared" si="119"/>
        <v>4958158</v>
      </c>
      <c r="R563" s="83">
        <f t="shared" si="119"/>
        <v>0</v>
      </c>
      <c r="S563" s="83">
        <f t="shared" si="119"/>
        <v>0</v>
      </c>
      <c r="T563" s="83">
        <f t="shared" si="119"/>
        <v>5343</v>
      </c>
      <c r="U563" s="83">
        <f t="shared" si="119"/>
        <v>21020235</v>
      </c>
      <c r="V563" s="83">
        <f t="shared" si="119"/>
        <v>913877</v>
      </c>
      <c r="W563" s="83">
        <f t="shared" si="119"/>
        <v>2056035</v>
      </c>
      <c r="X563" s="83">
        <f t="shared" si="119"/>
        <v>0</v>
      </c>
      <c r="Y563" s="14"/>
      <c r="Z563" s="12"/>
      <c r="AA563" s="21"/>
      <c r="AB563" s="12"/>
      <c r="AC563" s="12"/>
    </row>
    <row r="564" spans="1:29" s="23" customFormat="1" ht="16.5" customHeight="1">
      <c r="A564" s="133" t="s">
        <v>646</v>
      </c>
      <c r="B564" s="133"/>
      <c r="C564" s="133"/>
      <c r="D564" s="133"/>
      <c r="E564" s="133"/>
      <c r="F564" s="133"/>
      <c r="G564" s="133"/>
      <c r="H564" s="133"/>
      <c r="I564" s="133"/>
      <c r="J564" s="133"/>
      <c r="K564" s="133"/>
      <c r="L564" s="133"/>
      <c r="M564" s="133"/>
      <c r="N564" s="133"/>
      <c r="O564" s="133"/>
      <c r="P564" s="133"/>
      <c r="Q564" s="133"/>
      <c r="R564" s="133"/>
      <c r="S564" s="133"/>
      <c r="T564" s="133"/>
      <c r="U564" s="133"/>
      <c r="V564" s="133"/>
      <c r="W564" s="133"/>
      <c r="X564" s="133"/>
      <c r="Y564" s="14"/>
      <c r="Z564" s="12"/>
      <c r="AB564" s="12"/>
      <c r="AC564" s="12"/>
    </row>
    <row r="565" spans="1:29" ht="16.5" customHeight="1">
      <c r="A565" s="132" t="s">
        <v>647</v>
      </c>
      <c r="B565" s="132"/>
      <c r="C565" s="132"/>
      <c r="D565" s="127"/>
      <c r="E565" s="127"/>
      <c r="F565" s="127"/>
      <c r="G565" s="127"/>
      <c r="H565" s="127"/>
      <c r="I565" s="127"/>
      <c r="J565" s="127"/>
      <c r="K565" s="127"/>
      <c r="L565" s="127"/>
      <c r="M565" s="127"/>
      <c r="N565" s="127"/>
      <c r="O565" s="127"/>
      <c r="P565" s="127"/>
      <c r="Q565" s="127"/>
      <c r="R565" s="127"/>
      <c r="S565" s="127"/>
      <c r="T565" s="127"/>
      <c r="U565" s="127"/>
      <c r="V565" s="127"/>
      <c r="W565" s="127"/>
      <c r="X565" s="127"/>
      <c r="Y565" s="14"/>
      <c r="Z565" s="12"/>
      <c r="AB565" s="12"/>
      <c r="AC565" s="12"/>
    </row>
    <row r="566" spans="1:29" ht="16.5" customHeight="1">
      <c r="A566" s="10">
        <f>A561+1</f>
        <v>432</v>
      </c>
      <c r="B566" s="13" t="s">
        <v>431</v>
      </c>
      <c r="C566" s="97">
        <f>D566+K566+M566+O566+Q566+S566+U566+V566+W566+X566</f>
        <v>1376606</v>
      </c>
      <c r="D566" s="81">
        <f>E566+F566+G566+H566+I566</f>
        <v>0</v>
      </c>
      <c r="E566" s="86"/>
      <c r="F566" s="86"/>
      <c r="G566" s="86"/>
      <c r="H566" s="86"/>
      <c r="I566" s="86"/>
      <c r="J566" s="86"/>
      <c r="K566" s="86"/>
      <c r="L566" s="27">
        <v>701.6</v>
      </c>
      <c r="M566" s="97">
        <v>1376606</v>
      </c>
      <c r="N566" s="86"/>
      <c r="O566" s="86"/>
      <c r="P566" s="27"/>
      <c r="Q566" s="27"/>
      <c r="R566" s="27"/>
      <c r="S566" s="27"/>
      <c r="T566" s="27"/>
      <c r="U566" s="27"/>
      <c r="V566" s="97"/>
      <c r="W566" s="97"/>
      <c r="X566" s="97"/>
      <c r="Y566" s="14"/>
      <c r="Z566" s="12"/>
      <c r="AB566" s="12"/>
      <c r="AC566" s="12"/>
    </row>
    <row r="567" spans="1:29" ht="16.5" customHeight="1">
      <c r="A567" s="10">
        <f>A566+1</f>
        <v>433</v>
      </c>
      <c r="B567" s="13" t="s">
        <v>707</v>
      </c>
      <c r="C567" s="97">
        <f>D567+K567+M567+O567+Q567+S567+U567+V567+W567+X567</f>
        <v>1390286</v>
      </c>
      <c r="D567" s="81">
        <f>E567+F567+G567+H567+I567</f>
        <v>0</v>
      </c>
      <c r="E567" s="86"/>
      <c r="F567" s="86"/>
      <c r="G567" s="86"/>
      <c r="H567" s="86"/>
      <c r="I567" s="86"/>
      <c r="J567" s="86"/>
      <c r="K567" s="86"/>
      <c r="L567" s="27">
        <v>701.6</v>
      </c>
      <c r="M567" s="97">
        <v>1390286</v>
      </c>
      <c r="N567" s="86"/>
      <c r="O567" s="86"/>
      <c r="P567" s="27"/>
      <c r="Q567" s="27"/>
      <c r="R567" s="27"/>
      <c r="S567" s="27"/>
      <c r="T567" s="27"/>
      <c r="U567" s="27"/>
      <c r="V567" s="97"/>
      <c r="W567" s="97"/>
      <c r="X567" s="97"/>
      <c r="Y567" s="14"/>
      <c r="Z567" s="12"/>
      <c r="AB567" s="12"/>
      <c r="AC567" s="12"/>
    </row>
    <row r="568" spans="1:29" ht="16.5" customHeight="1">
      <c r="A568" s="130" t="s">
        <v>597</v>
      </c>
      <c r="B568" s="130"/>
      <c r="C568" s="86">
        <f>SUM(C566:C567)</f>
        <v>2766892</v>
      </c>
      <c r="D568" s="86">
        <f aca="true" t="shared" si="120" ref="D568:X568">SUM(D566:D567)</f>
        <v>0</v>
      </c>
      <c r="E568" s="86">
        <f t="shared" si="120"/>
        <v>0</v>
      </c>
      <c r="F568" s="86">
        <f t="shared" si="120"/>
        <v>0</v>
      </c>
      <c r="G568" s="86">
        <f t="shared" si="120"/>
        <v>0</v>
      </c>
      <c r="H568" s="86">
        <f t="shared" si="120"/>
        <v>0</v>
      </c>
      <c r="I568" s="86">
        <f t="shared" si="120"/>
        <v>0</v>
      </c>
      <c r="J568" s="86">
        <f t="shared" si="120"/>
        <v>0</v>
      </c>
      <c r="K568" s="86">
        <f t="shared" si="120"/>
        <v>0</v>
      </c>
      <c r="L568" s="86">
        <f t="shared" si="120"/>
        <v>1403.2</v>
      </c>
      <c r="M568" s="86">
        <f t="shared" si="120"/>
        <v>2766892</v>
      </c>
      <c r="N568" s="86">
        <f t="shared" si="120"/>
        <v>0</v>
      </c>
      <c r="O568" s="86">
        <f t="shared" si="120"/>
        <v>0</v>
      </c>
      <c r="P568" s="86">
        <f t="shared" si="120"/>
        <v>0</v>
      </c>
      <c r="Q568" s="86">
        <f t="shared" si="120"/>
        <v>0</v>
      </c>
      <c r="R568" s="86">
        <f t="shared" si="120"/>
        <v>0</v>
      </c>
      <c r="S568" s="86">
        <f t="shared" si="120"/>
        <v>0</v>
      </c>
      <c r="T568" s="86">
        <f t="shared" si="120"/>
        <v>0</v>
      </c>
      <c r="U568" s="86">
        <f t="shared" si="120"/>
        <v>0</v>
      </c>
      <c r="V568" s="86">
        <f t="shared" si="120"/>
        <v>0</v>
      </c>
      <c r="W568" s="86">
        <f t="shared" si="120"/>
        <v>0</v>
      </c>
      <c r="X568" s="86">
        <f t="shared" si="120"/>
        <v>0</v>
      </c>
      <c r="Y568" s="14"/>
      <c r="Z568" s="12"/>
      <c r="AA568" s="12"/>
      <c r="AB568" s="12"/>
      <c r="AC568" s="12"/>
    </row>
    <row r="569" spans="1:29" ht="16.5" customHeight="1">
      <c r="A569" s="123" t="s">
        <v>648</v>
      </c>
      <c r="B569" s="123"/>
      <c r="C569" s="123"/>
      <c r="D569" s="127"/>
      <c r="E569" s="127"/>
      <c r="F569" s="127"/>
      <c r="G569" s="127"/>
      <c r="H569" s="127"/>
      <c r="I569" s="127"/>
      <c r="J569" s="127"/>
      <c r="K569" s="127"/>
      <c r="L569" s="127"/>
      <c r="M569" s="127"/>
      <c r="N569" s="127"/>
      <c r="O569" s="127"/>
      <c r="P569" s="127"/>
      <c r="Q569" s="127"/>
      <c r="R569" s="127"/>
      <c r="S569" s="127"/>
      <c r="T569" s="127"/>
      <c r="U569" s="127"/>
      <c r="V569" s="127"/>
      <c r="W569" s="127"/>
      <c r="X569" s="127"/>
      <c r="Y569" s="14"/>
      <c r="Z569" s="12"/>
      <c r="AB569" s="12"/>
      <c r="AC569" s="12"/>
    </row>
    <row r="570" spans="1:29" ht="16.5" customHeight="1">
      <c r="A570" s="96">
        <f>A567+1</f>
        <v>434</v>
      </c>
      <c r="B570" s="13" t="s">
        <v>799</v>
      </c>
      <c r="C570" s="97">
        <f>D570+K570+M570+O570+Q570+S570+U570+V570+W570+X570</f>
        <v>2348514</v>
      </c>
      <c r="D570" s="86">
        <f>E570+F570+G570+H570+I570</f>
        <v>0</v>
      </c>
      <c r="E570" s="81"/>
      <c r="F570" s="81"/>
      <c r="G570" s="81"/>
      <c r="H570" s="81"/>
      <c r="I570" s="81"/>
      <c r="J570" s="81"/>
      <c r="K570" s="81"/>
      <c r="L570" s="86">
        <v>679</v>
      </c>
      <c r="M570" s="86">
        <v>2348514</v>
      </c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14"/>
      <c r="Z570" s="12"/>
      <c r="AB570" s="12"/>
      <c r="AC570" s="12"/>
    </row>
    <row r="571" spans="1:29" ht="16.5" customHeight="1">
      <c r="A571" s="96">
        <f>A570+1</f>
        <v>435</v>
      </c>
      <c r="B571" s="13" t="s">
        <v>797</v>
      </c>
      <c r="C571" s="97">
        <f aca="true" t="shared" si="121" ref="C571:C577">D571+K571+M571+O571+Q571+S571+U571+V571+W571+X571</f>
        <v>1393103</v>
      </c>
      <c r="D571" s="86">
        <f aca="true" t="shared" si="122" ref="D571:D577">E571+F571+G571+H571+I571</f>
        <v>0</v>
      </c>
      <c r="E571" s="81"/>
      <c r="F571" s="81"/>
      <c r="G571" s="81"/>
      <c r="H571" s="81"/>
      <c r="I571" s="81"/>
      <c r="J571" s="81"/>
      <c r="K571" s="81"/>
      <c r="L571" s="86">
        <v>983</v>
      </c>
      <c r="M571" s="86">
        <v>1393103</v>
      </c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14"/>
      <c r="Z571" s="12"/>
      <c r="AB571" s="12"/>
      <c r="AC571" s="12"/>
    </row>
    <row r="572" spans="1:29" ht="16.5" customHeight="1">
      <c r="A572" s="96">
        <f aca="true" t="shared" si="123" ref="A572:A577">A571+1</f>
        <v>436</v>
      </c>
      <c r="B572" s="13" t="s">
        <v>804</v>
      </c>
      <c r="C572" s="97">
        <f>D572+K572+M572+O572+Q572+S572+U572+V572+W572+X572</f>
        <v>6381288</v>
      </c>
      <c r="D572" s="86">
        <f>E572+F572+G572+H572+I572</f>
        <v>0</v>
      </c>
      <c r="E572" s="81"/>
      <c r="F572" s="81"/>
      <c r="G572" s="81"/>
      <c r="H572" s="81"/>
      <c r="I572" s="81"/>
      <c r="J572" s="81"/>
      <c r="K572" s="81"/>
      <c r="L572" s="86"/>
      <c r="M572" s="86"/>
      <c r="N572" s="81"/>
      <c r="O572" s="81"/>
      <c r="P572" s="86">
        <v>1527</v>
      </c>
      <c r="Q572" s="86">
        <v>6381288</v>
      </c>
      <c r="R572" s="81"/>
      <c r="S572" s="81"/>
      <c r="T572" s="81"/>
      <c r="U572" s="81"/>
      <c r="V572" s="81"/>
      <c r="W572" s="81"/>
      <c r="X572" s="81"/>
      <c r="Y572" s="14"/>
      <c r="Z572" s="12"/>
      <c r="AB572" s="12"/>
      <c r="AC572" s="12"/>
    </row>
    <row r="573" spans="1:29" ht="16.5" customHeight="1">
      <c r="A573" s="96">
        <f t="shared" si="123"/>
        <v>437</v>
      </c>
      <c r="B573" s="13" t="s">
        <v>798</v>
      </c>
      <c r="C573" s="97">
        <f t="shared" si="121"/>
        <v>4198630</v>
      </c>
      <c r="D573" s="86">
        <f t="shared" si="122"/>
        <v>0</v>
      </c>
      <c r="E573" s="81"/>
      <c r="F573" s="81"/>
      <c r="G573" s="81"/>
      <c r="H573" s="81"/>
      <c r="I573" s="81"/>
      <c r="J573" s="81"/>
      <c r="K573" s="81"/>
      <c r="L573" s="86">
        <v>1150</v>
      </c>
      <c r="M573" s="86">
        <v>4198630</v>
      </c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14"/>
      <c r="Z573" s="12"/>
      <c r="AB573" s="12"/>
      <c r="AC573" s="12"/>
    </row>
    <row r="574" spans="1:29" ht="16.5" customHeight="1">
      <c r="A574" s="96">
        <f t="shared" si="123"/>
        <v>438</v>
      </c>
      <c r="B574" s="13" t="s">
        <v>800</v>
      </c>
      <c r="C574" s="97">
        <f t="shared" si="121"/>
        <v>2188532</v>
      </c>
      <c r="D574" s="86">
        <f t="shared" si="122"/>
        <v>0</v>
      </c>
      <c r="E574" s="81"/>
      <c r="F574" s="81"/>
      <c r="G574" s="81"/>
      <c r="H574" s="81"/>
      <c r="I574" s="81"/>
      <c r="J574" s="81"/>
      <c r="K574" s="81"/>
      <c r="L574" s="86">
        <v>622</v>
      </c>
      <c r="M574" s="86">
        <v>2188532</v>
      </c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14"/>
      <c r="Z574" s="12"/>
      <c r="AB574" s="12"/>
      <c r="AC574" s="12"/>
    </row>
    <row r="575" spans="1:29" ht="16.5" customHeight="1">
      <c r="A575" s="96">
        <f t="shared" si="123"/>
        <v>439</v>
      </c>
      <c r="B575" s="13" t="s">
        <v>801</v>
      </c>
      <c r="C575" s="97">
        <f t="shared" si="121"/>
        <v>955923</v>
      </c>
      <c r="D575" s="86">
        <f t="shared" si="122"/>
        <v>0</v>
      </c>
      <c r="E575" s="81"/>
      <c r="F575" s="81"/>
      <c r="G575" s="81"/>
      <c r="H575" s="81"/>
      <c r="I575" s="81"/>
      <c r="J575" s="81"/>
      <c r="K575" s="81"/>
      <c r="L575" s="86">
        <v>532</v>
      </c>
      <c r="M575" s="86">
        <v>955923</v>
      </c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14"/>
      <c r="Z575" s="12"/>
      <c r="AB575" s="12"/>
      <c r="AC575" s="12"/>
    </row>
    <row r="576" spans="1:29" ht="16.5" customHeight="1">
      <c r="A576" s="96">
        <f t="shared" si="123"/>
        <v>440</v>
      </c>
      <c r="B576" s="13" t="s">
        <v>803</v>
      </c>
      <c r="C576" s="97">
        <f>D576+K576+M576+O576+Q576+S576+U576+V576+W576+X576</f>
        <v>2373203</v>
      </c>
      <c r="D576" s="86">
        <f>E576+F576+G576+H576+I576</f>
        <v>0</v>
      </c>
      <c r="E576" s="81"/>
      <c r="F576" s="81"/>
      <c r="G576" s="81"/>
      <c r="H576" s="81"/>
      <c r="I576" s="81"/>
      <c r="J576" s="81"/>
      <c r="K576" s="81"/>
      <c r="L576" s="86">
        <v>644</v>
      </c>
      <c r="M576" s="86">
        <v>2373203</v>
      </c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14"/>
      <c r="Z576" s="12"/>
      <c r="AB576" s="12"/>
      <c r="AC576" s="12"/>
    </row>
    <row r="577" spans="1:29" ht="16.5" customHeight="1">
      <c r="A577" s="96">
        <f t="shared" si="123"/>
        <v>441</v>
      </c>
      <c r="B577" s="13" t="s">
        <v>802</v>
      </c>
      <c r="C577" s="97">
        <f t="shared" si="121"/>
        <v>2214770</v>
      </c>
      <c r="D577" s="86">
        <f t="shared" si="122"/>
        <v>0</v>
      </c>
      <c r="E577" s="81"/>
      <c r="F577" s="81"/>
      <c r="G577" s="81"/>
      <c r="H577" s="81"/>
      <c r="I577" s="81"/>
      <c r="J577" s="81"/>
      <c r="K577" s="81"/>
      <c r="L577" s="86">
        <v>2087</v>
      </c>
      <c r="M577" s="86">
        <v>2214770</v>
      </c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14"/>
      <c r="Z577" s="12"/>
      <c r="AB577" s="12"/>
      <c r="AC577" s="12"/>
    </row>
    <row r="578" spans="1:29" ht="16.5" customHeight="1">
      <c r="A578" s="130" t="s">
        <v>597</v>
      </c>
      <c r="B578" s="130"/>
      <c r="C578" s="86">
        <f>SUM(C570:C577)</f>
        <v>22053963</v>
      </c>
      <c r="D578" s="86">
        <f aca="true" t="shared" si="124" ref="D578:X578">SUM(D570:D577)</f>
        <v>0</v>
      </c>
      <c r="E578" s="86">
        <f t="shared" si="124"/>
        <v>0</v>
      </c>
      <c r="F578" s="86">
        <f t="shared" si="124"/>
        <v>0</v>
      </c>
      <c r="G578" s="86">
        <f t="shared" si="124"/>
        <v>0</v>
      </c>
      <c r="H578" s="86">
        <f t="shared" si="124"/>
        <v>0</v>
      </c>
      <c r="I578" s="86">
        <f t="shared" si="124"/>
        <v>0</v>
      </c>
      <c r="J578" s="86">
        <f t="shared" si="124"/>
        <v>0</v>
      </c>
      <c r="K578" s="86">
        <f t="shared" si="124"/>
        <v>0</v>
      </c>
      <c r="L578" s="86">
        <f t="shared" si="124"/>
        <v>6697</v>
      </c>
      <c r="M578" s="86">
        <f t="shared" si="124"/>
        <v>15672675</v>
      </c>
      <c r="N578" s="86">
        <f t="shared" si="124"/>
        <v>0</v>
      </c>
      <c r="O578" s="86">
        <f t="shared" si="124"/>
        <v>0</v>
      </c>
      <c r="P578" s="86">
        <f t="shared" si="124"/>
        <v>1527</v>
      </c>
      <c r="Q578" s="86">
        <f t="shared" si="124"/>
        <v>6381288</v>
      </c>
      <c r="R578" s="86">
        <f t="shared" si="124"/>
        <v>0</v>
      </c>
      <c r="S578" s="86">
        <f t="shared" si="124"/>
        <v>0</v>
      </c>
      <c r="T578" s="86">
        <f t="shared" si="124"/>
        <v>0</v>
      </c>
      <c r="U578" s="86">
        <f t="shared" si="124"/>
        <v>0</v>
      </c>
      <c r="V578" s="86">
        <f t="shared" si="124"/>
        <v>0</v>
      </c>
      <c r="W578" s="86">
        <f t="shared" si="124"/>
        <v>0</v>
      </c>
      <c r="X578" s="86">
        <f t="shared" si="124"/>
        <v>0</v>
      </c>
      <c r="Y578" s="14"/>
      <c r="Z578" s="12"/>
      <c r="AA578" s="12"/>
      <c r="AB578" s="12"/>
      <c r="AC578" s="12"/>
    </row>
    <row r="579" spans="1:29" ht="16.5" customHeight="1">
      <c r="A579" s="123" t="s">
        <v>691</v>
      </c>
      <c r="B579" s="123"/>
      <c r="C579" s="123"/>
      <c r="D579" s="127"/>
      <c r="E579" s="127"/>
      <c r="F579" s="127"/>
      <c r="G579" s="127"/>
      <c r="H579" s="127"/>
      <c r="I579" s="127"/>
      <c r="J579" s="127"/>
      <c r="K579" s="127"/>
      <c r="L579" s="127"/>
      <c r="M579" s="127"/>
      <c r="N579" s="127"/>
      <c r="O579" s="127"/>
      <c r="P579" s="127"/>
      <c r="Q579" s="127"/>
      <c r="R579" s="127"/>
      <c r="S579" s="127"/>
      <c r="T579" s="127"/>
      <c r="U579" s="127"/>
      <c r="V579" s="127"/>
      <c r="W579" s="127"/>
      <c r="X579" s="127"/>
      <c r="Y579" s="14"/>
      <c r="Z579" s="12"/>
      <c r="AB579" s="12"/>
      <c r="AC579" s="12"/>
    </row>
    <row r="580" spans="1:29" ht="16.5" customHeight="1">
      <c r="A580" s="10">
        <f>A577+1</f>
        <v>442</v>
      </c>
      <c r="B580" s="13" t="s">
        <v>433</v>
      </c>
      <c r="C580" s="97">
        <f>D580+K580+M580+O580+Q580+S580+U580+V580+W580+X580</f>
        <v>1995072</v>
      </c>
      <c r="D580" s="86">
        <f>E580+F580+G580+H580+I580</f>
        <v>0</v>
      </c>
      <c r="E580" s="97"/>
      <c r="F580" s="97"/>
      <c r="G580" s="97"/>
      <c r="H580" s="97"/>
      <c r="I580" s="97"/>
      <c r="J580" s="97"/>
      <c r="K580" s="97"/>
      <c r="L580" s="97">
        <v>910</v>
      </c>
      <c r="M580" s="97">
        <v>1832549</v>
      </c>
      <c r="N580" s="97"/>
      <c r="O580" s="97"/>
      <c r="P580" s="97"/>
      <c r="Q580" s="97"/>
      <c r="R580" s="97"/>
      <c r="S580" s="97"/>
      <c r="T580" s="97"/>
      <c r="U580" s="97"/>
      <c r="V580" s="86"/>
      <c r="W580" s="97">
        <v>162523</v>
      </c>
      <c r="X580" s="97"/>
      <c r="Y580" s="14"/>
      <c r="Z580" s="12"/>
      <c r="AA580" s="12"/>
      <c r="AB580" s="12"/>
      <c r="AC580" s="12"/>
    </row>
    <row r="581" spans="1:29" ht="16.5" customHeight="1">
      <c r="A581" s="96">
        <f>A580+1</f>
        <v>443</v>
      </c>
      <c r="B581" s="89" t="s">
        <v>432</v>
      </c>
      <c r="C581" s="97">
        <f>D581+K581+M581+O581+Q581+S581+U581+V581+W581+X581</f>
        <v>180035</v>
      </c>
      <c r="D581" s="86">
        <f>E581+F581+G581+H581+I581</f>
        <v>0</v>
      </c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6">
        <v>180035</v>
      </c>
      <c r="X581" s="81"/>
      <c r="Y581" s="84"/>
      <c r="Z581" s="12"/>
      <c r="AB581" s="12"/>
      <c r="AC581" s="12"/>
    </row>
    <row r="582" spans="1:29" ht="16.5" customHeight="1">
      <c r="A582" s="130" t="s">
        <v>597</v>
      </c>
      <c r="B582" s="130"/>
      <c r="C582" s="97">
        <f>SUM(C580:C581)</f>
        <v>2175107</v>
      </c>
      <c r="D582" s="97">
        <f aca="true" t="shared" si="125" ref="D582:X582">SUM(D580:D581)</f>
        <v>0</v>
      </c>
      <c r="E582" s="97">
        <f t="shared" si="125"/>
        <v>0</v>
      </c>
      <c r="F582" s="97">
        <f t="shared" si="125"/>
        <v>0</v>
      </c>
      <c r="G582" s="97">
        <f t="shared" si="125"/>
        <v>0</v>
      </c>
      <c r="H582" s="97">
        <f t="shared" si="125"/>
        <v>0</v>
      </c>
      <c r="I582" s="97">
        <f t="shared" si="125"/>
        <v>0</v>
      </c>
      <c r="J582" s="97">
        <f t="shared" si="125"/>
        <v>0</v>
      </c>
      <c r="K582" s="97">
        <f t="shared" si="125"/>
        <v>0</v>
      </c>
      <c r="L582" s="97">
        <f t="shared" si="125"/>
        <v>910</v>
      </c>
      <c r="M582" s="97">
        <f t="shared" si="125"/>
        <v>1832549</v>
      </c>
      <c r="N582" s="97">
        <f t="shared" si="125"/>
        <v>0</v>
      </c>
      <c r="O582" s="97">
        <f t="shared" si="125"/>
        <v>0</v>
      </c>
      <c r="P582" s="97">
        <f t="shared" si="125"/>
        <v>0</v>
      </c>
      <c r="Q582" s="97">
        <f t="shared" si="125"/>
        <v>0</v>
      </c>
      <c r="R582" s="97">
        <f t="shared" si="125"/>
        <v>0</v>
      </c>
      <c r="S582" s="97">
        <f t="shared" si="125"/>
        <v>0</v>
      </c>
      <c r="T582" s="97">
        <f t="shared" si="125"/>
        <v>0</v>
      </c>
      <c r="U582" s="97">
        <f t="shared" si="125"/>
        <v>0</v>
      </c>
      <c r="V582" s="97">
        <f t="shared" si="125"/>
        <v>0</v>
      </c>
      <c r="W582" s="97">
        <f t="shared" si="125"/>
        <v>342558</v>
      </c>
      <c r="X582" s="97">
        <f t="shared" si="125"/>
        <v>0</v>
      </c>
      <c r="Y582" s="14"/>
      <c r="Z582" s="12"/>
      <c r="AA582" s="12"/>
      <c r="AB582" s="12"/>
      <c r="AC582" s="12"/>
    </row>
    <row r="583" spans="1:29" ht="16.5" customHeight="1">
      <c r="A583" s="132" t="s">
        <v>692</v>
      </c>
      <c r="B583" s="132"/>
      <c r="C583" s="132"/>
      <c r="D583" s="127"/>
      <c r="E583" s="127"/>
      <c r="F583" s="127"/>
      <c r="G583" s="127"/>
      <c r="H583" s="127"/>
      <c r="I583" s="127"/>
      <c r="J583" s="127"/>
      <c r="K583" s="127"/>
      <c r="L583" s="127"/>
      <c r="M583" s="127"/>
      <c r="N583" s="127"/>
      <c r="O583" s="127"/>
      <c r="P583" s="127"/>
      <c r="Q583" s="127"/>
      <c r="R583" s="127"/>
      <c r="S583" s="127"/>
      <c r="T583" s="127"/>
      <c r="U583" s="127"/>
      <c r="V583" s="127"/>
      <c r="W583" s="127"/>
      <c r="X583" s="127"/>
      <c r="Y583" s="14"/>
      <c r="Z583" s="12"/>
      <c r="AB583" s="12"/>
      <c r="AC583" s="12"/>
    </row>
    <row r="584" spans="1:29" ht="16.5" customHeight="1">
      <c r="A584" s="10">
        <f>A581+1</f>
        <v>444</v>
      </c>
      <c r="B584" s="13" t="s">
        <v>434</v>
      </c>
      <c r="C584" s="97">
        <f>D584+K584+M584+O584+Q584+S584+U584+V584+W584+X584</f>
        <v>2438068</v>
      </c>
      <c r="D584" s="86">
        <f>E584+F584+G584+H584+I584</f>
        <v>0</v>
      </c>
      <c r="E584" s="97"/>
      <c r="F584" s="97"/>
      <c r="G584" s="97"/>
      <c r="H584" s="97"/>
      <c r="I584" s="97"/>
      <c r="J584" s="97"/>
      <c r="K584" s="97"/>
      <c r="L584" s="97">
        <v>547</v>
      </c>
      <c r="M584" s="97">
        <v>2438068</v>
      </c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14"/>
      <c r="Z584" s="12"/>
      <c r="AB584" s="12"/>
      <c r="AC584" s="12"/>
    </row>
    <row r="585" spans="1:29" ht="16.5" customHeight="1">
      <c r="A585" s="130" t="s">
        <v>597</v>
      </c>
      <c r="B585" s="130"/>
      <c r="C585" s="97">
        <f>SUM(C584:C584)</f>
        <v>2438068</v>
      </c>
      <c r="D585" s="97">
        <f aca="true" t="shared" si="126" ref="D585:X585">SUM(D584:D584)</f>
        <v>0</v>
      </c>
      <c r="E585" s="97">
        <f t="shared" si="126"/>
        <v>0</v>
      </c>
      <c r="F585" s="97">
        <f t="shared" si="126"/>
        <v>0</v>
      </c>
      <c r="G585" s="97">
        <f t="shared" si="126"/>
        <v>0</v>
      </c>
      <c r="H585" s="97">
        <f t="shared" si="126"/>
        <v>0</v>
      </c>
      <c r="I585" s="97">
        <f t="shared" si="126"/>
        <v>0</v>
      </c>
      <c r="J585" s="97">
        <f t="shared" si="126"/>
        <v>0</v>
      </c>
      <c r="K585" s="97">
        <f t="shared" si="126"/>
        <v>0</v>
      </c>
      <c r="L585" s="97">
        <f t="shared" si="126"/>
        <v>547</v>
      </c>
      <c r="M585" s="97">
        <f t="shared" si="126"/>
        <v>2438068</v>
      </c>
      <c r="N585" s="97">
        <f t="shared" si="126"/>
        <v>0</v>
      </c>
      <c r="O585" s="97">
        <f t="shared" si="126"/>
        <v>0</v>
      </c>
      <c r="P585" s="97">
        <f t="shared" si="126"/>
        <v>0</v>
      </c>
      <c r="Q585" s="97">
        <f t="shared" si="126"/>
        <v>0</v>
      </c>
      <c r="R585" s="97">
        <f t="shared" si="126"/>
        <v>0</v>
      </c>
      <c r="S585" s="97">
        <f t="shared" si="126"/>
        <v>0</v>
      </c>
      <c r="T585" s="97">
        <f t="shared" si="126"/>
        <v>0</v>
      </c>
      <c r="U585" s="97">
        <f t="shared" si="126"/>
        <v>0</v>
      </c>
      <c r="V585" s="97">
        <f t="shared" si="126"/>
        <v>0</v>
      </c>
      <c r="W585" s="97">
        <f t="shared" si="126"/>
        <v>0</v>
      </c>
      <c r="X585" s="97">
        <f t="shared" si="126"/>
        <v>0</v>
      </c>
      <c r="Y585" s="14"/>
      <c r="Z585" s="12"/>
      <c r="AA585" s="12"/>
      <c r="AB585" s="12"/>
      <c r="AC585" s="12"/>
    </row>
    <row r="586" spans="1:29" ht="16.5" customHeight="1">
      <c r="A586" s="123" t="s">
        <v>649</v>
      </c>
      <c r="B586" s="123"/>
      <c r="C586" s="123"/>
      <c r="D586" s="127"/>
      <c r="E586" s="127"/>
      <c r="F586" s="127"/>
      <c r="G586" s="127"/>
      <c r="H586" s="127"/>
      <c r="I586" s="127"/>
      <c r="J586" s="127"/>
      <c r="K586" s="127"/>
      <c r="L586" s="127"/>
      <c r="M586" s="127"/>
      <c r="N586" s="127"/>
      <c r="O586" s="127"/>
      <c r="P586" s="127"/>
      <c r="Q586" s="127"/>
      <c r="R586" s="127"/>
      <c r="S586" s="127"/>
      <c r="T586" s="127"/>
      <c r="U586" s="127"/>
      <c r="V586" s="127"/>
      <c r="W586" s="127"/>
      <c r="X586" s="127"/>
      <c r="Y586" s="14"/>
      <c r="Z586" s="12"/>
      <c r="AB586" s="12"/>
      <c r="AC586" s="12"/>
    </row>
    <row r="587" spans="1:29" ht="16.5" customHeight="1">
      <c r="A587" s="10">
        <f>A584+1</f>
        <v>445</v>
      </c>
      <c r="B587" s="13" t="s">
        <v>440</v>
      </c>
      <c r="C587" s="97">
        <f aca="true" t="shared" si="127" ref="C587:C593">D587+K587+M587+O587+Q587+S587+U587+V587+W587+X587</f>
        <v>83765</v>
      </c>
      <c r="D587" s="86">
        <f aca="true" t="shared" si="128" ref="D587:D593">E587+F587+G587+H587+I587</f>
        <v>0</v>
      </c>
      <c r="E587" s="86"/>
      <c r="F587" s="86"/>
      <c r="G587" s="86"/>
      <c r="H587" s="86"/>
      <c r="I587" s="86"/>
      <c r="J587" s="86"/>
      <c r="K587" s="86"/>
      <c r="L587" s="86"/>
      <c r="M587" s="97"/>
      <c r="N587" s="86"/>
      <c r="O587" s="86"/>
      <c r="P587" s="86"/>
      <c r="Q587" s="86"/>
      <c r="R587" s="86"/>
      <c r="S587" s="86"/>
      <c r="T587" s="86"/>
      <c r="U587" s="86"/>
      <c r="V587" s="86"/>
      <c r="W587" s="86">
        <v>83765</v>
      </c>
      <c r="X587" s="86"/>
      <c r="Y587" s="14"/>
      <c r="Z587" s="12"/>
      <c r="AB587" s="12"/>
      <c r="AC587" s="12"/>
    </row>
    <row r="588" spans="1:29" ht="16.5" customHeight="1">
      <c r="A588" s="10">
        <f aca="true" t="shared" si="129" ref="A588:A593">A587+1</f>
        <v>446</v>
      </c>
      <c r="B588" s="13" t="s">
        <v>439</v>
      </c>
      <c r="C588" s="97">
        <f t="shared" si="127"/>
        <v>1207649</v>
      </c>
      <c r="D588" s="86">
        <f t="shared" si="128"/>
        <v>0</v>
      </c>
      <c r="E588" s="86"/>
      <c r="F588" s="86"/>
      <c r="G588" s="86"/>
      <c r="H588" s="86"/>
      <c r="I588" s="86"/>
      <c r="J588" s="86"/>
      <c r="K588" s="86"/>
      <c r="L588" s="86">
        <v>415.8</v>
      </c>
      <c r="M588" s="97">
        <v>1038443</v>
      </c>
      <c r="N588" s="86"/>
      <c r="O588" s="86"/>
      <c r="P588" s="86"/>
      <c r="Q588" s="86"/>
      <c r="R588" s="86"/>
      <c r="S588" s="86"/>
      <c r="T588" s="86"/>
      <c r="U588" s="86"/>
      <c r="V588" s="86"/>
      <c r="W588" s="86">
        <f>84762+84444</f>
        <v>169206</v>
      </c>
      <c r="X588" s="86"/>
      <c r="Y588" s="14"/>
      <c r="Z588" s="12"/>
      <c r="AB588" s="12"/>
      <c r="AC588" s="12"/>
    </row>
    <row r="589" spans="1:29" ht="16.5" customHeight="1">
      <c r="A589" s="10">
        <f t="shared" si="129"/>
        <v>447</v>
      </c>
      <c r="B589" s="13" t="s">
        <v>438</v>
      </c>
      <c r="C589" s="97">
        <f t="shared" si="127"/>
        <v>1460835</v>
      </c>
      <c r="D589" s="86">
        <f t="shared" si="128"/>
        <v>0</v>
      </c>
      <c r="E589" s="86"/>
      <c r="F589" s="86"/>
      <c r="G589" s="86"/>
      <c r="H589" s="86"/>
      <c r="I589" s="86"/>
      <c r="J589" s="86"/>
      <c r="K589" s="86"/>
      <c r="L589" s="86">
        <v>615</v>
      </c>
      <c r="M589" s="97">
        <v>1272064</v>
      </c>
      <c r="N589" s="86"/>
      <c r="O589" s="86"/>
      <c r="P589" s="86"/>
      <c r="Q589" s="86"/>
      <c r="R589" s="86"/>
      <c r="S589" s="86"/>
      <c r="T589" s="86"/>
      <c r="U589" s="86"/>
      <c r="V589" s="86"/>
      <c r="W589" s="86">
        <f>101325+87446</f>
        <v>188771</v>
      </c>
      <c r="X589" s="86"/>
      <c r="Y589" s="14"/>
      <c r="Z589" s="12"/>
      <c r="AB589" s="12"/>
      <c r="AC589" s="12"/>
    </row>
    <row r="590" spans="1:29" ht="16.5" customHeight="1">
      <c r="A590" s="10">
        <f t="shared" si="129"/>
        <v>448</v>
      </c>
      <c r="B590" s="89" t="s">
        <v>437</v>
      </c>
      <c r="C590" s="97">
        <f t="shared" si="127"/>
        <v>353689</v>
      </c>
      <c r="D590" s="86">
        <f t="shared" si="128"/>
        <v>0</v>
      </c>
      <c r="E590" s="86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6">
        <f>189583+164106</f>
        <v>353689</v>
      </c>
      <c r="X590" s="81"/>
      <c r="Y590" s="14"/>
      <c r="Z590" s="12"/>
      <c r="AB590" s="12"/>
      <c r="AC590" s="12"/>
    </row>
    <row r="591" spans="1:29" ht="16.5" customHeight="1">
      <c r="A591" s="10">
        <f t="shared" si="129"/>
        <v>449</v>
      </c>
      <c r="B591" s="89" t="s">
        <v>441</v>
      </c>
      <c r="C591" s="97">
        <f t="shared" si="127"/>
        <v>65099</v>
      </c>
      <c r="D591" s="86">
        <f t="shared" si="128"/>
        <v>0</v>
      </c>
      <c r="E591" s="86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6">
        <v>65099</v>
      </c>
      <c r="X591" s="81"/>
      <c r="Y591" s="14"/>
      <c r="Z591" s="12"/>
      <c r="AB591" s="12"/>
      <c r="AC591" s="12"/>
    </row>
    <row r="592" spans="1:29" ht="16.5" customHeight="1">
      <c r="A592" s="10">
        <f t="shared" si="129"/>
        <v>450</v>
      </c>
      <c r="B592" s="89" t="s">
        <v>435</v>
      </c>
      <c r="C592" s="97">
        <f t="shared" si="127"/>
        <v>178041</v>
      </c>
      <c r="D592" s="86">
        <f t="shared" si="128"/>
        <v>0</v>
      </c>
      <c r="E592" s="86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6">
        <f>95858+82183</f>
        <v>178041</v>
      </c>
      <c r="X592" s="81"/>
      <c r="Y592" s="14"/>
      <c r="Z592" s="12"/>
      <c r="AB592" s="12"/>
      <c r="AC592" s="12"/>
    </row>
    <row r="593" spans="1:29" ht="23.25" customHeight="1">
      <c r="A593" s="10">
        <f t="shared" si="129"/>
        <v>451</v>
      </c>
      <c r="B593" s="89" t="s">
        <v>436</v>
      </c>
      <c r="C593" s="97">
        <f t="shared" si="127"/>
        <v>177153</v>
      </c>
      <c r="D593" s="86">
        <f t="shared" si="128"/>
        <v>0</v>
      </c>
      <c r="E593" s="86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6">
        <f>95399+81754</f>
        <v>177153</v>
      </c>
      <c r="X593" s="81"/>
      <c r="Y593" s="14"/>
      <c r="Z593" s="12"/>
      <c r="AB593" s="12"/>
      <c r="AC593" s="12"/>
    </row>
    <row r="594" spans="1:29" ht="16.5" customHeight="1">
      <c r="A594" s="130" t="s">
        <v>597</v>
      </c>
      <c r="B594" s="130"/>
      <c r="C594" s="86">
        <f>SUM(C587:C593)</f>
        <v>3526231</v>
      </c>
      <c r="D594" s="86">
        <f aca="true" t="shared" si="130" ref="D594:X594">SUM(D587:D593)</f>
        <v>0</v>
      </c>
      <c r="E594" s="86">
        <f t="shared" si="130"/>
        <v>0</v>
      </c>
      <c r="F594" s="86">
        <f t="shared" si="130"/>
        <v>0</v>
      </c>
      <c r="G594" s="86">
        <f t="shared" si="130"/>
        <v>0</v>
      </c>
      <c r="H594" s="86">
        <f t="shared" si="130"/>
        <v>0</v>
      </c>
      <c r="I594" s="86">
        <f t="shared" si="130"/>
        <v>0</v>
      </c>
      <c r="J594" s="86">
        <f t="shared" si="130"/>
        <v>0</v>
      </c>
      <c r="K594" s="86">
        <f t="shared" si="130"/>
        <v>0</v>
      </c>
      <c r="L594" s="86">
        <f t="shared" si="130"/>
        <v>1030.8</v>
      </c>
      <c r="M594" s="86">
        <f t="shared" si="130"/>
        <v>2310507</v>
      </c>
      <c r="N594" s="86">
        <f t="shared" si="130"/>
        <v>0</v>
      </c>
      <c r="O594" s="86">
        <f t="shared" si="130"/>
        <v>0</v>
      </c>
      <c r="P594" s="86">
        <f t="shared" si="130"/>
        <v>0</v>
      </c>
      <c r="Q594" s="86">
        <f t="shared" si="130"/>
        <v>0</v>
      </c>
      <c r="R594" s="86">
        <f t="shared" si="130"/>
        <v>0</v>
      </c>
      <c r="S594" s="86">
        <f t="shared" si="130"/>
        <v>0</v>
      </c>
      <c r="T594" s="86">
        <f t="shared" si="130"/>
        <v>0</v>
      </c>
      <c r="U594" s="86">
        <f t="shared" si="130"/>
        <v>0</v>
      </c>
      <c r="V594" s="86">
        <f t="shared" si="130"/>
        <v>0</v>
      </c>
      <c r="W594" s="86">
        <f t="shared" si="130"/>
        <v>1215724</v>
      </c>
      <c r="X594" s="86">
        <f t="shared" si="130"/>
        <v>0</v>
      </c>
      <c r="Y594" s="14"/>
      <c r="Z594" s="12"/>
      <c r="AA594" s="12"/>
      <c r="AB594" s="12"/>
      <c r="AC594" s="12"/>
    </row>
    <row r="595" spans="1:29" ht="16.5" customHeight="1">
      <c r="A595" s="132" t="s">
        <v>693</v>
      </c>
      <c r="B595" s="132"/>
      <c r="C595" s="132"/>
      <c r="D595" s="127"/>
      <c r="E595" s="127"/>
      <c r="F595" s="127"/>
      <c r="G595" s="127"/>
      <c r="H595" s="127"/>
      <c r="I595" s="127"/>
      <c r="J595" s="127"/>
      <c r="K595" s="127"/>
      <c r="L595" s="127"/>
      <c r="M595" s="127"/>
      <c r="N595" s="127"/>
      <c r="O595" s="127"/>
      <c r="P595" s="127"/>
      <c r="Q595" s="127"/>
      <c r="R595" s="127"/>
      <c r="S595" s="127"/>
      <c r="T595" s="127"/>
      <c r="U595" s="127"/>
      <c r="V595" s="127"/>
      <c r="W595" s="127"/>
      <c r="X595" s="127"/>
      <c r="Y595" s="14"/>
      <c r="Z595" s="12"/>
      <c r="AB595" s="12"/>
      <c r="AC595" s="12"/>
    </row>
    <row r="596" spans="1:29" ht="16.5" customHeight="1">
      <c r="A596" s="10">
        <f>A593+1</f>
        <v>452</v>
      </c>
      <c r="B596" s="13" t="s">
        <v>444</v>
      </c>
      <c r="C596" s="97">
        <f aca="true" t="shared" si="131" ref="C596:C601">D596+K596+M596+O596+Q596+S596+U596+V596+W596+X596</f>
        <v>686351</v>
      </c>
      <c r="D596" s="86">
        <f aca="true" t="shared" si="132" ref="D596:D601">E596+F596+G596+H596+I596</f>
        <v>0</v>
      </c>
      <c r="E596" s="86"/>
      <c r="F596" s="86"/>
      <c r="G596" s="86"/>
      <c r="H596" s="86"/>
      <c r="I596" s="86"/>
      <c r="J596" s="86"/>
      <c r="K596" s="86"/>
      <c r="L596" s="86">
        <v>251.9</v>
      </c>
      <c r="M596" s="86">
        <v>686351</v>
      </c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14"/>
      <c r="Z596" s="12"/>
      <c r="AB596" s="12"/>
      <c r="AC596" s="12"/>
    </row>
    <row r="597" spans="1:29" ht="16.5" customHeight="1">
      <c r="A597" s="10">
        <f>A596+1</f>
        <v>453</v>
      </c>
      <c r="B597" s="13" t="s">
        <v>445</v>
      </c>
      <c r="C597" s="97">
        <f t="shared" si="131"/>
        <v>1611506</v>
      </c>
      <c r="D597" s="86">
        <f t="shared" si="132"/>
        <v>0</v>
      </c>
      <c r="E597" s="86"/>
      <c r="F597" s="86"/>
      <c r="G597" s="86"/>
      <c r="H597" s="86"/>
      <c r="I597" s="86"/>
      <c r="J597" s="86"/>
      <c r="K597" s="86"/>
      <c r="L597" s="86">
        <v>700.6</v>
      </c>
      <c r="M597" s="97">
        <v>1611506</v>
      </c>
      <c r="N597" s="86"/>
      <c r="O597" s="86"/>
      <c r="P597" s="86"/>
      <c r="Q597" s="86"/>
      <c r="R597" s="86"/>
      <c r="S597" s="86"/>
      <c r="T597" s="86"/>
      <c r="U597" s="86"/>
      <c r="V597" s="86"/>
      <c r="W597" s="86"/>
      <c r="X597" s="86"/>
      <c r="Y597" s="14"/>
      <c r="Z597" s="12"/>
      <c r="AB597" s="12"/>
      <c r="AC597" s="12"/>
    </row>
    <row r="598" spans="1:29" ht="16.5" customHeight="1">
      <c r="A598" s="10">
        <f>A597+1</f>
        <v>454</v>
      </c>
      <c r="B598" s="13" t="s">
        <v>446</v>
      </c>
      <c r="C598" s="97">
        <f t="shared" si="131"/>
        <v>1437548</v>
      </c>
      <c r="D598" s="86">
        <f t="shared" si="132"/>
        <v>0</v>
      </c>
      <c r="E598" s="86"/>
      <c r="F598" s="86"/>
      <c r="G598" s="86"/>
      <c r="H598" s="86"/>
      <c r="I598" s="86"/>
      <c r="J598" s="86"/>
      <c r="K598" s="86"/>
      <c r="L598" s="86">
        <v>676</v>
      </c>
      <c r="M598" s="86">
        <v>1437548</v>
      </c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14"/>
      <c r="Z598" s="12"/>
      <c r="AB598" s="12"/>
      <c r="AC598" s="12"/>
    </row>
    <row r="599" spans="1:29" ht="16.5" customHeight="1">
      <c r="A599" s="10">
        <f>A598+1</f>
        <v>455</v>
      </c>
      <c r="B599" s="13" t="s">
        <v>443</v>
      </c>
      <c r="C599" s="97">
        <f t="shared" si="131"/>
        <v>1053056</v>
      </c>
      <c r="D599" s="86">
        <f t="shared" si="132"/>
        <v>0</v>
      </c>
      <c r="E599" s="86"/>
      <c r="F599" s="86"/>
      <c r="G599" s="86"/>
      <c r="H599" s="86"/>
      <c r="I599" s="86"/>
      <c r="J599" s="86"/>
      <c r="K599" s="86"/>
      <c r="L599" s="86">
        <v>423</v>
      </c>
      <c r="M599" s="86">
        <v>1053056</v>
      </c>
      <c r="N599" s="86"/>
      <c r="O599" s="86"/>
      <c r="P599" s="86"/>
      <c r="Q599" s="86"/>
      <c r="R599" s="86"/>
      <c r="S599" s="86"/>
      <c r="T599" s="86"/>
      <c r="U599" s="86"/>
      <c r="V599" s="86"/>
      <c r="W599" s="86"/>
      <c r="X599" s="86"/>
      <c r="Y599" s="14"/>
      <c r="Z599" s="12"/>
      <c r="AB599" s="12"/>
      <c r="AC599" s="12"/>
    </row>
    <row r="600" spans="1:29" ht="16.5" customHeight="1">
      <c r="A600" s="10">
        <f>A599+1</f>
        <v>456</v>
      </c>
      <c r="B600" s="13" t="s">
        <v>822</v>
      </c>
      <c r="C600" s="97">
        <f t="shared" si="131"/>
        <v>1053511</v>
      </c>
      <c r="D600" s="86">
        <f t="shared" si="132"/>
        <v>0</v>
      </c>
      <c r="E600" s="86"/>
      <c r="F600" s="86"/>
      <c r="G600" s="86"/>
      <c r="H600" s="86"/>
      <c r="I600" s="86"/>
      <c r="J600" s="86"/>
      <c r="K600" s="86"/>
      <c r="L600" s="86">
        <v>423</v>
      </c>
      <c r="M600" s="86">
        <v>1053511</v>
      </c>
      <c r="N600" s="86"/>
      <c r="O600" s="86"/>
      <c r="P600" s="86"/>
      <c r="Q600" s="86"/>
      <c r="R600" s="86"/>
      <c r="S600" s="86"/>
      <c r="T600" s="86"/>
      <c r="U600" s="86"/>
      <c r="V600" s="86"/>
      <c r="W600" s="86"/>
      <c r="X600" s="86"/>
      <c r="Y600" s="14"/>
      <c r="Z600" s="12"/>
      <c r="AB600" s="12"/>
      <c r="AC600" s="12"/>
    </row>
    <row r="601" spans="1:29" ht="16.5" customHeight="1">
      <c r="A601" s="10">
        <f>A600+1</f>
        <v>457</v>
      </c>
      <c r="B601" s="13" t="s">
        <v>823</v>
      </c>
      <c r="C601" s="97">
        <f t="shared" si="131"/>
        <v>964946</v>
      </c>
      <c r="D601" s="86">
        <f t="shared" si="132"/>
        <v>0</v>
      </c>
      <c r="E601" s="86"/>
      <c r="F601" s="86"/>
      <c r="G601" s="86"/>
      <c r="H601" s="86"/>
      <c r="I601" s="86"/>
      <c r="J601" s="86"/>
      <c r="K601" s="86"/>
      <c r="L601" s="86">
        <v>548</v>
      </c>
      <c r="M601" s="86">
        <v>964946</v>
      </c>
      <c r="N601" s="86"/>
      <c r="O601" s="86"/>
      <c r="P601" s="86"/>
      <c r="Q601" s="86"/>
      <c r="R601" s="86"/>
      <c r="S601" s="86"/>
      <c r="T601" s="86"/>
      <c r="U601" s="86"/>
      <c r="V601" s="86"/>
      <c r="W601" s="86"/>
      <c r="X601" s="86"/>
      <c r="Y601" s="14"/>
      <c r="Z601" s="12"/>
      <c r="AB601" s="12"/>
      <c r="AC601" s="12"/>
    </row>
    <row r="602" spans="1:29" ht="16.5" customHeight="1">
      <c r="A602" s="130" t="s">
        <v>597</v>
      </c>
      <c r="B602" s="130"/>
      <c r="C602" s="97">
        <f>SUM(C596:C601)</f>
        <v>6806918</v>
      </c>
      <c r="D602" s="97">
        <f aca="true" t="shared" si="133" ref="D602:X602">SUM(D596:D601)</f>
        <v>0</v>
      </c>
      <c r="E602" s="97">
        <f t="shared" si="133"/>
        <v>0</v>
      </c>
      <c r="F602" s="97">
        <f t="shared" si="133"/>
        <v>0</v>
      </c>
      <c r="G602" s="97">
        <f t="shared" si="133"/>
        <v>0</v>
      </c>
      <c r="H602" s="97">
        <f t="shared" si="133"/>
        <v>0</v>
      </c>
      <c r="I602" s="97">
        <f t="shared" si="133"/>
        <v>0</v>
      </c>
      <c r="J602" s="97">
        <f t="shared" si="133"/>
        <v>0</v>
      </c>
      <c r="K602" s="97">
        <f t="shared" si="133"/>
        <v>0</v>
      </c>
      <c r="L602" s="97">
        <f t="shared" si="133"/>
        <v>3022.5</v>
      </c>
      <c r="M602" s="97">
        <f t="shared" si="133"/>
        <v>6806918</v>
      </c>
      <c r="N602" s="97">
        <f t="shared" si="133"/>
        <v>0</v>
      </c>
      <c r="O602" s="97">
        <f t="shared" si="133"/>
        <v>0</v>
      </c>
      <c r="P602" s="97">
        <f t="shared" si="133"/>
        <v>0</v>
      </c>
      <c r="Q602" s="97">
        <f t="shared" si="133"/>
        <v>0</v>
      </c>
      <c r="R602" s="97">
        <f t="shared" si="133"/>
        <v>0</v>
      </c>
      <c r="S602" s="97">
        <f t="shared" si="133"/>
        <v>0</v>
      </c>
      <c r="T602" s="97">
        <f t="shared" si="133"/>
        <v>0</v>
      </c>
      <c r="U602" s="97">
        <f t="shared" si="133"/>
        <v>0</v>
      </c>
      <c r="V602" s="97">
        <f t="shared" si="133"/>
        <v>0</v>
      </c>
      <c r="W602" s="97">
        <f t="shared" si="133"/>
        <v>0</v>
      </c>
      <c r="X602" s="97">
        <f t="shared" si="133"/>
        <v>0</v>
      </c>
      <c r="Y602" s="14"/>
      <c r="Z602" s="12"/>
      <c r="AA602" s="12"/>
      <c r="AB602" s="12"/>
      <c r="AC602" s="12"/>
    </row>
    <row r="603" spans="1:29" ht="16.5" customHeight="1">
      <c r="A603" s="123" t="s">
        <v>694</v>
      </c>
      <c r="B603" s="123"/>
      <c r="C603" s="123"/>
      <c r="D603" s="127"/>
      <c r="E603" s="127"/>
      <c r="F603" s="127"/>
      <c r="G603" s="127"/>
      <c r="H603" s="127"/>
      <c r="I603" s="127"/>
      <c r="J603" s="127"/>
      <c r="K603" s="127"/>
      <c r="L603" s="127"/>
      <c r="M603" s="127"/>
      <c r="N603" s="127"/>
      <c r="O603" s="127"/>
      <c r="P603" s="127"/>
      <c r="Q603" s="127"/>
      <c r="R603" s="127"/>
      <c r="S603" s="127"/>
      <c r="T603" s="127"/>
      <c r="U603" s="127"/>
      <c r="V603" s="127"/>
      <c r="W603" s="127"/>
      <c r="X603" s="127"/>
      <c r="Y603" s="14"/>
      <c r="Z603" s="12"/>
      <c r="AB603" s="12"/>
      <c r="AC603" s="12"/>
    </row>
    <row r="604" spans="1:29" ht="16.5" customHeight="1">
      <c r="A604" s="96">
        <f>A601+1</f>
        <v>458</v>
      </c>
      <c r="B604" s="15" t="s">
        <v>447</v>
      </c>
      <c r="C604" s="97">
        <f>D604+K604+M604+O604+Q604+S604+U604+V604+W604+X604</f>
        <v>2444762</v>
      </c>
      <c r="D604" s="86">
        <f>E604+F604+G604+H604+I604</f>
        <v>0</v>
      </c>
      <c r="E604" s="86"/>
      <c r="F604" s="86"/>
      <c r="G604" s="86"/>
      <c r="H604" s="86"/>
      <c r="I604" s="86"/>
      <c r="J604" s="86"/>
      <c r="K604" s="86"/>
      <c r="L604" s="86">
        <v>647</v>
      </c>
      <c r="M604" s="97">
        <v>2444762</v>
      </c>
      <c r="N604" s="86"/>
      <c r="O604" s="97"/>
      <c r="P604" s="97"/>
      <c r="Q604" s="97"/>
      <c r="R604" s="97"/>
      <c r="S604" s="97"/>
      <c r="T604" s="86"/>
      <c r="U604" s="86"/>
      <c r="V604" s="86"/>
      <c r="W604" s="97"/>
      <c r="X604" s="97"/>
      <c r="Y604" s="14"/>
      <c r="Z604" s="12"/>
      <c r="AB604" s="12"/>
      <c r="AC604" s="12"/>
    </row>
    <row r="605" spans="1:29" ht="16.5" customHeight="1">
      <c r="A605" s="130" t="s">
        <v>597</v>
      </c>
      <c r="B605" s="130"/>
      <c r="C605" s="97">
        <f aca="true" t="shared" si="134" ref="C605:X605">SUM(C604:C604)</f>
        <v>2444762</v>
      </c>
      <c r="D605" s="97">
        <f t="shared" si="134"/>
        <v>0</v>
      </c>
      <c r="E605" s="97">
        <f t="shared" si="134"/>
        <v>0</v>
      </c>
      <c r="F605" s="97">
        <f t="shared" si="134"/>
        <v>0</v>
      </c>
      <c r="G605" s="97">
        <f t="shared" si="134"/>
        <v>0</v>
      </c>
      <c r="H605" s="97">
        <f t="shared" si="134"/>
        <v>0</v>
      </c>
      <c r="I605" s="97">
        <f t="shared" si="134"/>
        <v>0</v>
      </c>
      <c r="J605" s="97">
        <f t="shared" si="134"/>
        <v>0</v>
      </c>
      <c r="K605" s="97">
        <f t="shared" si="134"/>
        <v>0</v>
      </c>
      <c r="L605" s="97">
        <f t="shared" si="134"/>
        <v>647</v>
      </c>
      <c r="M605" s="97">
        <f t="shared" si="134"/>
        <v>2444762</v>
      </c>
      <c r="N605" s="97">
        <f t="shared" si="134"/>
        <v>0</v>
      </c>
      <c r="O605" s="97">
        <f t="shared" si="134"/>
        <v>0</v>
      </c>
      <c r="P605" s="97">
        <f t="shared" si="134"/>
        <v>0</v>
      </c>
      <c r="Q605" s="97">
        <f t="shared" si="134"/>
        <v>0</v>
      </c>
      <c r="R605" s="97">
        <f t="shared" si="134"/>
        <v>0</v>
      </c>
      <c r="S605" s="97">
        <f t="shared" si="134"/>
        <v>0</v>
      </c>
      <c r="T605" s="97">
        <f t="shared" si="134"/>
        <v>0</v>
      </c>
      <c r="U605" s="97">
        <f t="shared" si="134"/>
        <v>0</v>
      </c>
      <c r="V605" s="97">
        <f t="shared" si="134"/>
        <v>0</v>
      </c>
      <c r="W605" s="97">
        <f t="shared" si="134"/>
        <v>0</v>
      </c>
      <c r="X605" s="97">
        <f t="shared" si="134"/>
        <v>0</v>
      </c>
      <c r="Y605" s="14"/>
      <c r="Z605" s="12"/>
      <c r="AA605" s="12"/>
      <c r="AB605" s="12"/>
      <c r="AC605" s="12"/>
    </row>
    <row r="606" spans="1:29" ht="16.5" customHeight="1">
      <c r="A606" s="105" t="s">
        <v>706</v>
      </c>
      <c r="B606" s="110"/>
      <c r="C606" s="106"/>
      <c r="D606" s="127"/>
      <c r="E606" s="127"/>
      <c r="F606" s="127"/>
      <c r="G606" s="127"/>
      <c r="H606" s="127"/>
      <c r="I606" s="127"/>
      <c r="J606" s="127"/>
      <c r="K606" s="127"/>
      <c r="L606" s="127"/>
      <c r="M606" s="127"/>
      <c r="N606" s="127"/>
      <c r="O606" s="127"/>
      <c r="P606" s="127"/>
      <c r="Q606" s="127"/>
      <c r="R606" s="127"/>
      <c r="S606" s="127"/>
      <c r="T606" s="127"/>
      <c r="U606" s="127"/>
      <c r="V606" s="127"/>
      <c r="W606" s="127"/>
      <c r="X606" s="127"/>
      <c r="Y606" s="14"/>
      <c r="Z606" s="12"/>
      <c r="AA606" s="12"/>
      <c r="AB606" s="12"/>
      <c r="AC606" s="12"/>
    </row>
    <row r="607" spans="1:29" ht="16.5" customHeight="1">
      <c r="A607" s="96">
        <f>A604+1</f>
        <v>459</v>
      </c>
      <c r="B607" s="82" t="s">
        <v>448</v>
      </c>
      <c r="C607" s="97">
        <f>D607+K607+M607+O607+Q607+S607+U607+V607+W607+X607</f>
        <v>1233262</v>
      </c>
      <c r="D607" s="86">
        <f>E607+F607+G607+H607+I607</f>
        <v>0</v>
      </c>
      <c r="E607" s="97"/>
      <c r="F607" s="97"/>
      <c r="G607" s="97"/>
      <c r="H607" s="97"/>
      <c r="I607" s="97"/>
      <c r="J607" s="97"/>
      <c r="K607" s="97"/>
      <c r="L607" s="97">
        <v>280</v>
      </c>
      <c r="M607" s="97">
        <v>1233262</v>
      </c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14"/>
      <c r="Z607" s="12"/>
      <c r="AA607" s="12"/>
      <c r="AB607" s="12"/>
      <c r="AC607" s="12"/>
    </row>
    <row r="608" spans="1:29" ht="16.5" customHeight="1">
      <c r="A608" s="103" t="s">
        <v>695</v>
      </c>
      <c r="B608" s="104"/>
      <c r="C608" s="97">
        <f>SUM(C607)</f>
        <v>1233262</v>
      </c>
      <c r="D608" s="97">
        <f aca="true" t="shared" si="135" ref="D608:X608">SUM(D607)</f>
        <v>0</v>
      </c>
      <c r="E608" s="97">
        <f t="shared" si="135"/>
        <v>0</v>
      </c>
      <c r="F608" s="97">
        <f t="shared" si="135"/>
        <v>0</v>
      </c>
      <c r="G608" s="97">
        <f t="shared" si="135"/>
        <v>0</v>
      </c>
      <c r="H608" s="97">
        <f t="shared" si="135"/>
        <v>0</v>
      </c>
      <c r="I608" s="97">
        <f t="shared" si="135"/>
        <v>0</v>
      </c>
      <c r="J608" s="97">
        <f t="shared" si="135"/>
        <v>0</v>
      </c>
      <c r="K608" s="97">
        <f t="shared" si="135"/>
        <v>0</v>
      </c>
      <c r="L608" s="97">
        <f t="shared" si="135"/>
        <v>280</v>
      </c>
      <c r="M608" s="97">
        <f t="shared" si="135"/>
        <v>1233262</v>
      </c>
      <c r="N608" s="97">
        <f t="shared" si="135"/>
        <v>0</v>
      </c>
      <c r="O608" s="97">
        <f t="shared" si="135"/>
        <v>0</v>
      </c>
      <c r="P608" s="97">
        <f t="shared" si="135"/>
        <v>0</v>
      </c>
      <c r="Q608" s="97">
        <f t="shared" si="135"/>
        <v>0</v>
      </c>
      <c r="R608" s="97">
        <f t="shared" si="135"/>
        <v>0</v>
      </c>
      <c r="S608" s="97">
        <f t="shared" si="135"/>
        <v>0</v>
      </c>
      <c r="T608" s="97">
        <f t="shared" si="135"/>
        <v>0</v>
      </c>
      <c r="U608" s="97">
        <f t="shared" si="135"/>
        <v>0</v>
      </c>
      <c r="V608" s="97">
        <f t="shared" si="135"/>
        <v>0</v>
      </c>
      <c r="W608" s="97">
        <f t="shared" si="135"/>
        <v>0</v>
      </c>
      <c r="X608" s="97">
        <f t="shared" si="135"/>
        <v>0</v>
      </c>
      <c r="Y608" s="14"/>
      <c r="Z608" s="12"/>
      <c r="AA608" s="12"/>
      <c r="AB608" s="12"/>
      <c r="AC608" s="12"/>
    </row>
    <row r="609" spans="1:29" s="23" customFormat="1" ht="16.5" customHeight="1">
      <c r="A609" s="123" t="s">
        <v>650</v>
      </c>
      <c r="B609" s="123"/>
      <c r="C609" s="83">
        <f>C568+C578+C582+C585+C594+C602+C605+C608</f>
        <v>43445203</v>
      </c>
      <c r="D609" s="83">
        <f aca="true" t="shared" si="136" ref="D609:X609">D568+D578+D582+D585+D594+D602+D605+D608</f>
        <v>0</v>
      </c>
      <c r="E609" s="83">
        <f t="shared" si="136"/>
        <v>0</v>
      </c>
      <c r="F609" s="83">
        <f t="shared" si="136"/>
        <v>0</v>
      </c>
      <c r="G609" s="83">
        <f t="shared" si="136"/>
        <v>0</v>
      </c>
      <c r="H609" s="83">
        <f t="shared" si="136"/>
        <v>0</v>
      </c>
      <c r="I609" s="83">
        <f t="shared" si="136"/>
        <v>0</v>
      </c>
      <c r="J609" s="83">
        <f t="shared" si="136"/>
        <v>0</v>
      </c>
      <c r="K609" s="83">
        <f t="shared" si="136"/>
        <v>0</v>
      </c>
      <c r="L609" s="83">
        <f t="shared" si="136"/>
        <v>14537.5</v>
      </c>
      <c r="M609" s="83">
        <f t="shared" si="136"/>
        <v>35505633</v>
      </c>
      <c r="N609" s="83">
        <f t="shared" si="136"/>
        <v>0</v>
      </c>
      <c r="O609" s="83">
        <f t="shared" si="136"/>
        <v>0</v>
      </c>
      <c r="P609" s="83">
        <f t="shared" si="136"/>
        <v>1527</v>
      </c>
      <c r="Q609" s="83">
        <f t="shared" si="136"/>
        <v>6381288</v>
      </c>
      <c r="R609" s="83">
        <f t="shared" si="136"/>
        <v>0</v>
      </c>
      <c r="S609" s="83">
        <f t="shared" si="136"/>
        <v>0</v>
      </c>
      <c r="T609" s="83">
        <f t="shared" si="136"/>
        <v>0</v>
      </c>
      <c r="U609" s="83">
        <f t="shared" si="136"/>
        <v>0</v>
      </c>
      <c r="V609" s="83">
        <f t="shared" si="136"/>
        <v>0</v>
      </c>
      <c r="W609" s="83">
        <f t="shared" si="136"/>
        <v>1558282</v>
      </c>
      <c r="X609" s="83">
        <f t="shared" si="136"/>
        <v>0</v>
      </c>
      <c r="Y609" s="14"/>
      <c r="Z609" s="12"/>
      <c r="AA609" s="21"/>
      <c r="AB609" s="12"/>
      <c r="AC609" s="12"/>
    </row>
    <row r="610" spans="1:29" ht="16.5" customHeight="1">
      <c r="A610" s="133" t="s">
        <v>651</v>
      </c>
      <c r="B610" s="133"/>
      <c r="C610" s="133"/>
      <c r="D610" s="133"/>
      <c r="E610" s="133"/>
      <c r="F610" s="133"/>
      <c r="G610" s="133"/>
      <c r="H610" s="133"/>
      <c r="I610" s="133"/>
      <c r="J610" s="133"/>
      <c r="K610" s="133"/>
      <c r="L610" s="133"/>
      <c r="M610" s="133"/>
      <c r="N610" s="133"/>
      <c r="O610" s="133"/>
      <c r="P610" s="133"/>
      <c r="Q610" s="133"/>
      <c r="R610" s="133"/>
      <c r="S610" s="133"/>
      <c r="T610" s="133"/>
      <c r="U610" s="133"/>
      <c r="V610" s="133"/>
      <c r="W610" s="133"/>
      <c r="X610" s="133"/>
      <c r="Y610" s="14"/>
      <c r="Z610" s="12"/>
      <c r="AB610" s="12"/>
      <c r="AC610" s="12"/>
    </row>
    <row r="611" spans="1:29" ht="16.5" customHeight="1">
      <c r="A611" s="123" t="s">
        <v>653</v>
      </c>
      <c r="B611" s="123"/>
      <c r="C611" s="123"/>
      <c r="D611" s="127"/>
      <c r="E611" s="127"/>
      <c r="F611" s="127"/>
      <c r="G611" s="127"/>
      <c r="H611" s="127"/>
      <c r="I611" s="127"/>
      <c r="J611" s="127"/>
      <c r="K611" s="127"/>
      <c r="L611" s="127"/>
      <c r="M611" s="127"/>
      <c r="N611" s="127"/>
      <c r="O611" s="127"/>
      <c r="P611" s="127"/>
      <c r="Q611" s="127"/>
      <c r="R611" s="127"/>
      <c r="S611" s="127"/>
      <c r="T611" s="127"/>
      <c r="U611" s="127"/>
      <c r="V611" s="127"/>
      <c r="W611" s="127"/>
      <c r="X611" s="127"/>
      <c r="Y611" s="14"/>
      <c r="Z611" s="12"/>
      <c r="AB611" s="12"/>
      <c r="AC611" s="12"/>
    </row>
    <row r="612" spans="1:29" ht="16.5" customHeight="1">
      <c r="A612" s="96">
        <f>A607+1</f>
        <v>460</v>
      </c>
      <c r="B612" s="82" t="s">
        <v>452</v>
      </c>
      <c r="C612" s="97">
        <f aca="true" t="shared" si="137" ref="C612:C618">D612+K612+M612+O612+Q612+S612+U612+V612+W612+X612</f>
        <v>4847664</v>
      </c>
      <c r="D612" s="86">
        <f aca="true" t="shared" si="138" ref="D612:D618">E612+F612+G612+H612+I612</f>
        <v>0</v>
      </c>
      <c r="E612" s="86"/>
      <c r="F612" s="86"/>
      <c r="G612" s="86"/>
      <c r="H612" s="86"/>
      <c r="I612" s="86"/>
      <c r="J612" s="86"/>
      <c r="K612" s="86"/>
      <c r="L612" s="86">
        <v>1056</v>
      </c>
      <c r="M612" s="86">
        <v>2889355</v>
      </c>
      <c r="N612" s="86"/>
      <c r="O612" s="86"/>
      <c r="P612" s="86">
        <v>1018</v>
      </c>
      <c r="Q612" s="86">
        <v>1958309</v>
      </c>
      <c r="R612" s="86"/>
      <c r="S612" s="86"/>
      <c r="T612" s="86"/>
      <c r="U612" s="86"/>
      <c r="V612" s="86"/>
      <c r="W612" s="86"/>
      <c r="X612" s="86"/>
      <c r="Y612" s="14"/>
      <c r="Z612" s="12"/>
      <c r="AB612" s="12"/>
      <c r="AC612" s="12"/>
    </row>
    <row r="613" spans="1:29" ht="16.5" customHeight="1">
      <c r="A613" s="96">
        <f aca="true" t="shared" si="139" ref="A613:A618">A612+1</f>
        <v>461</v>
      </c>
      <c r="B613" s="13" t="s">
        <v>451</v>
      </c>
      <c r="C613" s="97">
        <f t="shared" si="137"/>
        <v>2313400</v>
      </c>
      <c r="D613" s="86">
        <f t="shared" si="138"/>
        <v>1831899</v>
      </c>
      <c r="E613" s="86">
        <v>1831899</v>
      </c>
      <c r="F613" s="86"/>
      <c r="G613" s="86"/>
      <c r="H613" s="81"/>
      <c r="I613" s="81"/>
      <c r="J613" s="81"/>
      <c r="K613" s="81"/>
      <c r="L613" s="47"/>
      <c r="M613" s="97"/>
      <c r="N613" s="81"/>
      <c r="O613" s="81"/>
      <c r="P613" s="86"/>
      <c r="Q613" s="86"/>
      <c r="R613" s="81"/>
      <c r="S613" s="81"/>
      <c r="T613" s="81"/>
      <c r="U613" s="81"/>
      <c r="V613" s="86"/>
      <c r="W613" s="86">
        <v>481501</v>
      </c>
      <c r="X613" s="86"/>
      <c r="Y613" s="14"/>
      <c r="Z613" s="12"/>
      <c r="AB613" s="12"/>
      <c r="AC613" s="12"/>
    </row>
    <row r="614" spans="1:29" ht="16.5" customHeight="1">
      <c r="A614" s="96">
        <f t="shared" si="139"/>
        <v>462</v>
      </c>
      <c r="B614" s="13" t="s">
        <v>455</v>
      </c>
      <c r="C614" s="97">
        <f t="shared" si="137"/>
        <v>264463</v>
      </c>
      <c r="D614" s="86">
        <f t="shared" si="138"/>
        <v>0</v>
      </c>
      <c r="E614" s="86"/>
      <c r="F614" s="86"/>
      <c r="G614" s="86"/>
      <c r="H614" s="81"/>
      <c r="I614" s="81"/>
      <c r="J614" s="81"/>
      <c r="K614" s="81"/>
      <c r="L614" s="28"/>
      <c r="M614" s="28"/>
      <c r="N614" s="81"/>
      <c r="O614" s="81"/>
      <c r="P614" s="28"/>
      <c r="Q614" s="28"/>
      <c r="R614" s="81"/>
      <c r="S614" s="86"/>
      <c r="T614" s="86"/>
      <c r="U614" s="81"/>
      <c r="V614" s="97"/>
      <c r="W614" s="86">
        <v>264463</v>
      </c>
      <c r="X614" s="86"/>
      <c r="Y614" s="14"/>
      <c r="Z614" s="12"/>
      <c r="AB614" s="12"/>
      <c r="AC614" s="12"/>
    </row>
    <row r="615" spans="1:29" ht="16.5" customHeight="1">
      <c r="A615" s="96">
        <f t="shared" si="139"/>
        <v>463</v>
      </c>
      <c r="B615" s="13" t="s">
        <v>449</v>
      </c>
      <c r="C615" s="97">
        <f t="shared" si="137"/>
        <v>401309</v>
      </c>
      <c r="D615" s="86">
        <f t="shared" si="138"/>
        <v>0</v>
      </c>
      <c r="E615" s="86"/>
      <c r="F615" s="86"/>
      <c r="G615" s="86"/>
      <c r="H615" s="81"/>
      <c r="I615" s="81"/>
      <c r="J615" s="81"/>
      <c r="K615" s="81"/>
      <c r="L615" s="28">
        <v>354</v>
      </c>
      <c r="M615" s="97">
        <v>401309</v>
      </c>
      <c r="N615" s="81"/>
      <c r="O615" s="81"/>
      <c r="P615" s="28"/>
      <c r="Q615" s="97"/>
      <c r="R615" s="81"/>
      <c r="S615" s="81"/>
      <c r="T615" s="81"/>
      <c r="U615" s="86"/>
      <c r="V615" s="97"/>
      <c r="W615" s="86"/>
      <c r="X615" s="86"/>
      <c r="Y615" s="14"/>
      <c r="Z615" s="12"/>
      <c r="AA615" s="12"/>
      <c r="AB615" s="12"/>
      <c r="AC615" s="12"/>
    </row>
    <row r="616" spans="1:29" ht="16.5" customHeight="1">
      <c r="A616" s="96">
        <f t="shared" si="139"/>
        <v>464</v>
      </c>
      <c r="B616" s="13" t="s">
        <v>450</v>
      </c>
      <c r="C616" s="97">
        <f t="shared" si="137"/>
        <v>4483252</v>
      </c>
      <c r="D616" s="86">
        <f t="shared" si="138"/>
        <v>1430212</v>
      </c>
      <c r="E616" s="86"/>
      <c r="F616" s="86"/>
      <c r="G616" s="86">
        <v>1430212</v>
      </c>
      <c r="H616" s="81"/>
      <c r="I616" s="81"/>
      <c r="J616" s="81"/>
      <c r="K616" s="81"/>
      <c r="L616" s="28">
        <v>1511.93</v>
      </c>
      <c r="M616" s="28">
        <v>3053040</v>
      </c>
      <c r="N616" s="81"/>
      <c r="O616" s="81"/>
      <c r="P616" s="97"/>
      <c r="Q616" s="97"/>
      <c r="R616" s="81"/>
      <c r="S616" s="81"/>
      <c r="T616" s="81"/>
      <c r="U616" s="81"/>
      <c r="V616" s="97"/>
      <c r="W616" s="86"/>
      <c r="X616" s="86"/>
      <c r="Y616" s="14"/>
      <c r="Z616" s="12"/>
      <c r="AB616" s="12"/>
      <c r="AC616" s="12"/>
    </row>
    <row r="617" spans="1:29" ht="13.5" customHeight="1">
      <c r="A617" s="96">
        <f t="shared" si="139"/>
        <v>465</v>
      </c>
      <c r="B617" s="13" t="s">
        <v>454</v>
      </c>
      <c r="C617" s="97">
        <f t="shared" si="137"/>
        <v>1731864</v>
      </c>
      <c r="D617" s="86">
        <f t="shared" si="138"/>
        <v>0</v>
      </c>
      <c r="E617" s="86"/>
      <c r="F617" s="86"/>
      <c r="G617" s="86"/>
      <c r="H617" s="81"/>
      <c r="I617" s="81"/>
      <c r="J617" s="81"/>
      <c r="K617" s="81"/>
      <c r="L617" s="28">
        <v>526.62</v>
      </c>
      <c r="M617" s="28">
        <v>1731864</v>
      </c>
      <c r="N617" s="81"/>
      <c r="O617" s="81"/>
      <c r="P617" s="97"/>
      <c r="Q617" s="97"/>
      <c r="R617" s="81"/>
      <c r="S617" s="81"/>
      <c r="T617" s="81"/>
      <c r="U617" s="81"/>
      <c r="V617" s="97"/>
      <c r="W617" s="86"/>
      <c r="X617" s="86"/>
      <c r="Y617" s="14"/>
      <c r="Z617" s="12"/>
      <c r="AB617" s="12"/>
      <c r="AC617" s="12"/>
    </row>
    <row r="618" spans="1:29" ht="14.25" customHeight="1">
      <c r="A618" s="96">
        <f t="shared" si="139"/>
        <v>466</v>
      </c>
      <c r="B618" s="13" t="s">
        <v>453</v>
      </c>
      <c r="C618" s="97">
        <f t="shared" si="137"/>
        <v>3022936</v>
      </c>
      <c r="D618" s="86">
        <f t="shared" si="138"/>
        <v>0</v>
      </c>
      <c r="E618" s="86"/>
      <c r="F618" s="86"/>
      <c r="G618" s="86"/>
      <c r="H618" s="81"/>
      <c r="I618" s="81"/>
      <c r="J618" s="86">
        <v>1</v>
      </c>
      <c r="K618" s="86">
        <v>2800000</v>
      </c>
      <c r="L618" s="28"/>
      <c r="M618" s="28"/>
      <c r="N618" s="81"/>
      <c r="O618" s="81"/>
      <c r="P618" s="97"/>
      <c r="Q618" s="97"/>
      <c r="R618" s="81"/>
      <c r="S618" s="81"/>
      <c r="T618" s="81"/>
      <c r="U618" s="81"/>
      <c r="V618" s="97"/>
      <c r="W618" s="86">
        <v>222936</v>
      </c>
      <c r="X618" s="86"/>
      <c r="Y618" s="14"/>
      <c r="Z618" s="12"/>
      <c r="AB618" s="12"/>
      <c r="AC618" s="12"/>
    </row>
    <row r="619" spans="1:29" ht="12.75">
      <c r="A619" s="103" t="s">
        <v>597</v>
      </c>
      <c r="B619" s="104"/>
      <c r="C619" s="86">
        <f>SUM(C612:C618)</f>
        <v>17064888</v>
      </c>
      <c r="D619" s="86">
        <f aca="true" t="shared" si="140" ref="D619:X619">SUM(D612:D618)</f>
        <v>3262111</v>
      </c>
      <c r="E619" s="86">
        <f t="shared" si="140"/>
        <v>1831899</v>
      </c>
      <c r="F619" s="86">
        <f t="shared" si="140"/>
        <v>0</v>
      </c>
      <c r="G619" s="86">
        <f t="shared" si="140"/>
        <v>1430212</v>
      </c>
      <c r="H619" s="86">
        <f t="shared" si="140"/>
        <v>0</v>
      </c>
      <c r="I619" s="86">
        <f t="shared" si="140"/>
        <v>0</v>
      </c>
      <c r="J619" s="86">
        <f t="shared" si="140"/>
        <v>1</v>
      </c>
      <c r="K619" s="86">
        <f t="shared" si="140"/>
        <v>2800000</v>
      </c>
      <c r="L619" s="86">
        <f t="shared" si="140"/>
        <v>3448.55</v>
      </c>
      <c r="M619" s="86">
        <f t="shared" si="140"/>
        <v>8075568</v>
      </c>
      <c r="N619" s="86">
        <f t="shared" si="140"/>
        <v>0</v>
      </c>
      <c r="O619" s="86">
        <f t="shared" si="140"/>
        <v>0</v>
      </c>
      <c r="P619" s="86">
        <f t="shared" si="140"/>
        <v>1018</v>
      </c>
      <c r="Q619" s="86">
        <f t="shared" si="140"/>
        <v>1958309</v>
      </c>
      <c r="R619" s="86">
        <f t="shared" si="140"/>
        <v>0</v>
      </c>
      <c r="S619" s="86">
        <f t="shared" si="140"/>
        <v>0</v>
      </c>
      <c r="T619" s="86">
        <f t="shared" si="140"/>
        <v>0</v>
      </c>
      <c r="U619" s="86">
        <f t="shared" si="140"/>
        <v>0</v>
      </c>
      <c r="V619" s="86">
        <f t="shared" si="140"/>
        <v>0</v>
      </c>
      <c r="W619" s="86">
        <f t="shared" si="140"/>
        <v>968900</v>
      </c>
      <c r="X619" s="86">
        <f t="shared" si="140"/>
        <v>0</v>
      </c>
      <c r="Y619" s="14"/>
      <c r="Z619" s="12"/>
      <c r="AA619" s="12"/>
      <c r="AB619" s="12"/>
      <c r="AC619" s="12"/>
    </row>
    <row r="620" spans="1:29" ht="12.75">
      <c r="A620" s="105" t="s">
        <v>654</v>
      </c>
      <c r="B620" s="106"/>
      <c r="C620" s="81">
        <f>C619</f>
        <v>17064888</v>
      </c>
      <c r="D620" s="81">
        <f aca="true" t="shared" si="141" ref="D620:X620">D619</f>
        <v>3262111</v>
      </c>
      <c r="E620" s="81">
        <f t="shared" si="141"/>
        <v>1831899</v>
      </c>
      <c r="F620" s="81">
        <f t="shared" si="141"/>
        <v>0</v>
      </c>
      <c r="G620" s="81">
        <f t="shared" si="141"/>
        <v>1430212</v>
      </c>
      <c r="H620" s="81">
        <f t="shared" si="141"/>
        <v>0</v>
      </c>
      <c r="I620" s="81">
        <f t="shared" si="141"/>
        <v>0</v>
      </c>
      <c r="J620" s="81">
        <f t="shared" si="141"/>
        <v>1</v>
      </c>
      <c r="K620" s="81">
        <f t="shared" si="141"/>
        <v>2800000</v>
      </c>
      <c r="L620" s="81">
        <f t="shared" si="141"/>
        <v>3448.55</v>
      </c>
      <c r="M620" s="81">
        <f t="shared" si="141"/>
        <v>8075568</v>
      </c>
      <c r="N620" s="81">
        <f t="shared" si="141"/>
        <v>0</v>
      </c>
      <c r="O620" s="81">
        <f t="shared" si="141"/>
        <v>0</v>
      </c>
      <c r="P620" s="81">
        <f t="shared" si="141"/>
        <v>1018</v>
      </c>
      <c r="Q620" s="81">
        <f t="shared" si="141"/>
        <v>1958309</v>
      </c>
      <c r="R620" s="81">
        <f t="shared" si="141"/>
        <v>0</v>
      </c>
      <c r="S620" s="81">
        <f t="shared" si="141"/>
        <v>0</v>
      </c>
      <c r="T620" s="81">
        <f t="shared" si="141"/>
        <v>0</v>
      </c>
      <c r="U620" s="81">
        <f t="shared" si="141"/>
        <v>0</v>
      </c>
      <c r="V620" s="81">
        <f t="shared" si="141"/>
        <v>0</v>
      </c>
      <c r="W620" s="81">
        <f t="shared" si="141"/>
        <v>968900</v>
      </c>
      <c r="X620" s="81">
        <f t="shared" si="141"/>
        <v>0</v>
      </c>
      <c r="Y620" s="14"/>
      <c r="Z620" s="12"/>
      <c r="AA620" s="20"/>
      <c r="AB620" s="12"/>
      <c r="AC620" s="12"/>
    </row>
    <row r="621" spans="1:29" ht="15" customHeight="1">
      <c r="A621" s="133" t="s">
        <v>655</v>
      </c>
      <c r="B621" s="133"/>
      <c r="C621" s="133"/>
      <c r="D621" s="133"/>
      <c r="E621" s="133"/>
      <c r="F621" s="133"/>
      <c r="G621" s="133"/>
      <c r="H621" s="133"/>
      <c r="I621" s="133"/>
      <c r="J621" s="133"/>
      <c r="K621" s="133"/>
      <c r="L621" s="133"/>
      <c r="M621" s="133"/>
      <c r="N621" s="133"/>
      <c r="O621" s="133"/>
      <c r="P621" s="133"/>
      <c r="Q621" s="133"/>
      <c r="R621" s="133"/>
      <c r="S621" s="133"/>
      <c r="T621" s="133"/>
      <c r="U621" s="133"/>
      <c r="V621" s="133"/>
      <c r="W621" s="133"/>
      <c r="X621" s="133"/>
      <c r="Y621" s="14"/>
      <c r="Z621" s="12"/>
      <c r="AB621" s="12"/>
      <c r="AC621" s="12"/>
    </row>
    <row r="622" spans="1:29" ht="15" customHeight="1">
      <c r="A622" s="132" t="s">
        <v>656</v>
      </c>
      <c r="B622" s="132"/>
      <c r="C622" s="132"/>
      <c r="D622" s="127"/>
      <c r="E622" s="127"/>
      <c r="F622" s="127"/>
      <c r="G622" s="127"/>
      <c r="H622" s="127"/>
      <c r="I622" s="127"/>
      <c r="J622" s="127"/>
      <c r="K622" s="127"/>
      <c r="L622" s="127"/>
      <c r="M622" s="127"/>
      <c r="N622" s="127"/>
      <c r="O622" s="127"/>
      <c r="P622" s="127"/>
      <c r="Q622" s="127"/>
      <c r="R622" s="127"/>
      <c r="S622" s="127"/>
      <c r="T622" s="127"/>
      <c r="U622" s="127"/>
      <c r="V622" s="127"/>
      <c r="W622" s="127"/>
      <c r="X622" s="127"/>
      <c r="Y622" s="14"/>
      <c r="Z622" s="12"/>
      <c r="AA622" s="12"/>
      <c r="AB622" s="12"/>
      <c r="AC622" s="12"/>
    </row>
    <row r="623" spans="1:29" ht="15" customHeight="1">
      <c r="A623" s="10">
        <f>A618+1</f>
        <v>467</v>
      </c>
      <c r="B623" s="88" t="s">
        <v>459</v>
      </c>
      <c r="C623" s="97">
        <f>D623+K623+M623+O623+Q623+S623+U623+V623+W623+X623</f>
        <v>1123942</v>
      </c>
      <c r="D623" s="86">
        <f>E623+F623+G623+H623+I623</f>
        <v>0</v>
      </c>
      <c r="E623" s="81"/>
      <c r="F623" s="81"/>
      <c r="G623" s="81"/>
      <c r="H623" s="81"/>
      <c r="I623" s="81"/>
      <c r="J623" s="81"/>
      <c r="K623" s="81"/>
      <c r="L623" s="86">
        <v>246</v>
      </c>
      <c r="M623" s="86">
        <v>1123942</v>
      </c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14"/>
      <c r="Z623" s="12"/>
      <c r="AA623" s="12"/>
      <c r="AB623" s="12"/>
      <c r="AC623" s="12"/>
    </row>
    <row r="624" spans="1:29" ht="15" customHeight="1">
      <c r="A624" s="10">
        <f>A623+1</f>
        <v>468</v>
      </c>
      <c r="B624" s="88" t="s">
        <v>460</v>
      </c>
      <c r="C624" s="97">
        <f>D624+K624+M624+O624+Q624+S624+U624+V624+W624+X624</f>
        <v>1123942</v>
      </c>
      <c r="D624" s="86">
        <f>E624+F624+G624+H624+I624</f>
        <v>0</v>
      </c>
      <c r="E624" s="81"/>
      <c r="F624" s="81"/>
      <c r="G624" s="81"/>
      <c r="H624" s="81"/>
      <c r="I624" s="81"/>
      <c r="J624" s="81"/>
      <c r="K624" s="81"/>
      <c r="L624" s="86">
        <v>246</v>
      </c>
      <c r="M624" s="86">
        <v>1123942</v>
      </c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14"/>
      <c r="Z624" s="12"/>
      <c r="AA624" s="12"/>
      <c r="AB624" s="12"/>
      <c r="AC624" s="12"/>
    </row>
    <row r="625" spans="1:29" ht="14.25" customHeight="1">
      <c r="A625" s="10">
        <f>A624+1</f>
        <v>469</v>
      </c>
      <c r="B625" s="88" t="s">
        <v>457</v>
      </c>
      <c r="C625" s="97">
        <f>D625+K625+M625+O625+Q625+S625+U625+V625+W625+X625</f>
        <v>2746930</v>
      </c>
      <c r="D625" s="86">
        <f>E625+F625+G625+H625+I625</f>
        <v>0</v>
      </c>
      <c r="E625" s="81"/>
      <c r="F625" s="81"/>
      <c r="G625" s="81"/>
      <c r="H625" s="81"/>
      <c r="I625" s="81"/>
      <c r="J625" s="81"/>
      <c r="K625" s="81"/>
      <c r="L625" s="86">
        <v>616</v>
      </c>
      <c r="M625" s="86">
        <v>2746930</v>
      </c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14"/>
      <c r="Z625" s="12"/>
      <c r="AA625" s="12"/>
      <c r="AB625" s="12"/>
      <c r="AC625" s="12"/>
    </row>
    <row r="626" spans="1:29" ht="15" customHeight="1">
      <c r="A626" s="10">
        <f>A625+1</f>
        <v>470</v>
      </c>
      <c r="B626" s="88" t="s">
        <v>458</v>
      </c>
      <c r="C626" s="97">
        <f>D626+K626+M626+O626+Q626+S626+U626+V626+W626+X626</f>
        <v>1845929</v>
      </c>
      <c r="D626" s="86">
        <f>E626+F626+G626+H626+I626</f>
        <v>0</v>
      </c>
      <c r="E626" s="81"/>
      <c r="F626" s="81"/>
      <c r="G626" s="81"/>
      <c r="H626" s="81"/>
      <c r="I626" s="81"/>
      <c r="J626" s="81"/>
      <c r="K626" s="81"/>
      <c r="L626" s="86">
        <v>411</v>
      </c>
      <c r="M626" s="86">
        <v>1845929</v>
      </c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14"/>
      <c r="Z626" s="12"/>
      <c r="AA626" s="12"/>
      <c r="AB626" s="12"/>
      <c r="AC626" s="12"/>
    </row>
    <row r="627" spans="1:29" ht="15" customHeight="1">
      <c r="A627" s="10">
        <f>A626+1</f>
        <v>471</v>
      </c>
      <c r="B627" s="88" t="s">
        <v>456</v>
      </c>
      <c r="C627" s="97">
        <f>D627+K627+M627+O627+Q627+S627+U627+V627+W627+X627</f>
        <v>2800418</v>
      </c>
      <c r="D627" s="86">
        <f>E627+F627+G627+H627+I627</f>
        <v>0</v>
      </c>
      <c r="E627" s="81"/>
      <c r="F627" s="81"/>
      <c r="G627" s="81"/>
      <c r="H627" s="81"/>
      <c r="I627" s="81"/>
      <c r="J627" s="81"/>
      <c r="K627" s="81"/>
      <c r="L627" s="86">
        <v>607</v>
      </c>
      <c r="M627" s="86">
        <v>2800418</v>
      </c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14"/>
      <c r="Z627" s="12"/>
      <c r="AA627" s="12"/>
      <c r="AB627" s="12"/>
      <c r="AC627" s="12"/>
    </row>
    <row r="628" spans="1:29" ht="15" customHeight="1">
      <c r="A628" s="29" t="s">
        <v>597</v>
      </c>
      <c r="B628" s="29"/>
      <c r="C628" s="86">
        <f aca="true" t="shared" si="142" ref="C628:X628">SUM(C623:C627)</f>
        <v>9641161</v>
      </c>
      <c r="D628" s="86">
        <f t="shared" si="142"/>
        <v>0</v>
      </c>
      <c r="E628" s="86">
        <f t="shared" si="142"/>
        <v>0</v>
      </c>
      <c r="F628" s="86">
        <f t="shared" si="142"/>
        <v>0</v>
      </c>
      <c r="G628" s="86">
        <f t="shared" si="142"/>
        <v>0</v>
      </c>
      <c r="H628" s="86">
        <f t="shared" si="142"/>
        <v>0</v>
      </c>
      <c r="I628" s="86">
        <f t="shared" si="142"/>
        <v>0</v>
      </c>
      <c r="J628" s="86">
        <f t="shared" si="142"/>
        <v>0</v>
      </c>
      <c r="K628" s="86">
        <f t="shared" si="142"/>
        <v>0</v>
      </c>
      <c r="L628" s="86">
        <f t="shared" si="142"/>
        <v>2126</v>
      </c>
      <c r="M628" s="86">
        <f t="shared" si="142"/>
        <v>9641161</v>
      </c>
      <c r="N628" s="86">
        <f t="shared" si="142"/>
        <v>0</v>
      </c>
      <c r="O628" s="86">
        <f t="shared" si="142"/>
        <v>0</v>
      </c>
      <c r="P628" s="86">
        <f t="shared" si="142"/>
        <v>0</v>
      </c>
      <c r="Q628" s="86">
        <f t="shared" si="142"/>
        <v>0</v>
      </c>
      <c r="R628" s="86">
        <f t="shared" si="142"/>
        <v>0</v>
      </c>
      <c r="S628" s="86">
        <f t="shared" si="142"/>
        <v>0</v>
      </c>
      <c r="T628" s="86">
        <f t="shared" si="142"/>
        <v>0</v>
      </c>
      <c r="U628" s="86">
        <f t="shared" si="142"/>
        <v>0</v>
      </c>
      <c r="V628" s="86">
        <f t="shared" si="142"/>
        <v>0</v>
      </c>
      <c r="W628" s="86">
        <f t="shared" si="142"/>
        <v>0</v>
      </c>
      <c r="X628" s="86">
        <f t="shared" si="142"/>
        <v>0</v>
      </c>
      <c r="Y628" s="14"/>
      <c r="Z628" s="12"/>
      <c r="AB628" s="12"/>
      <c r="AC628" s="12"/>
    </row>
    <row r="629" spans="1:29" ht="18" customHeight="1">
      <c r="A629" s="123" t="s">
        <v>658</v>
      </c>
      <c r="B629" s="123"/>
      <c r="C629" s="123"/>
      <c r="D629" s="127"/>
      <c r="E629" s="127"/>
      <c r="F629" s="127"/>
      <c r="G629" s="127"/>
      <c r="H629" s="127"/>
      <c r="I629" s="127"/>
      <c r="J629" s="127"/>
      <c r="K629" s="127"/>
      <c r="L629" s="127"/>
      <c r="M629" s="127"/>
      <c r="N629" s="127"/>
      <c r="O629" s="127"/>
      <c r="P629" s="127"/>
      <c r="Q629" s="127"/>
      <c r="R629" s="127"/>
      <c r="S629" s="127"/>
      <c r="T629" s="127"/>
      <c r="U629" s="127"/>
      <c r="V629" s="127"/>
      <c r="W629" s="127"/>
      <c r="X629" s="127"/>
      <c r="Y629" s="14"/>
      <c r="Z629" s="12"/>
      <c r="AA629" s="12"/>
      <c r="AB629" s="12"/>
      <c r="AC629" s="12"/>
    </row>
    <row r="630" spans="1:29" ht="15" customHeight="1">
      <c r="A630" s="10">
        <f>A627+1</f>
        <v>472</v>
      </c>
      <c r="B630" s="13" t="s">
        <v>461</v>
      </c>
      <c r="C630" s="97">
        <f>D630+K630+M630+O630+Q630+S630+U630+V630+W630+X630</f>
        <v>3325302</v>
      </c>
      <c r="D630" s="86">
        <f>E630+F630+G630+H630+I630</f>
        <v>0</v>
      </c>
      <c r="E630" s="86"/>
      <c r="F630" s="86"/>
      <c r="G630" s="86"/>
      <c r="H630" s="86"/>
      <c r="I630" s="86"/>
      <c r="J630" s="86"/>
      <c r="K630" s="86"/>
      <c r="L630" s="28">
        <v>720</v>
      </c>
      <c r="M630" s="97">
        <v>3325302</v>
      </c>
      <c r="N630" s="86"/>
      <c r="O630" s="86"/>
      <c r="P630" s="86"/>
      <c r="Q630" s="97"/>
      <c r="R630" s="86"/>
      <c r="S630" s="86"/>
      <c r="T630" s="86"/>
      <c r="U630" s="86"/>
      <c r="V630" s="86"/>
      <c r="W630" s="97"/>
      <c r="X630" s="97"/>
      <c r="Y630" s="14"/>
      <c r="Z630" s="12"/>
      <c r="AB630" s="12"/>
      <c r="AC630" s="12"/>
    </row>
    <row r="631" spans="1:29" ht="15" customHeight="1">
      <c r="A631" s="10">
        <f>A630+1</f>
        <v>473</v>
      </c>
      <c r="B631" s="13" t="s">
        <v>462</v>
      </c>
      <c r="C631" s="97">
        <f>D631+K631+M631+O631+Q631+S631+U631+V631+W631+X631</f>
        <v>4218150</v>
      </c>
      <c r="D631" s="86">
        <f>E631+F631+G631+H631+I631</f>
        <v>0</v>
      </c>
      <c r="E631" s="86"/>
      <c r="F631" s="86"/>
      <c r="G631" s="86"/>
      <c r="H631" s="86"/>
      <c r="I631" s="86"/>
      <c r="J631" s="86"/>
      <c r="K631" s="86"/>
      <c r="L631" s="28">
        <v>720</v>
      </c>
      <c r="M631" s="97">
        <v>3325302</v>
      </c>
      <c r="N631" s="86"/>
      <c r="O631" s="86"/>
      <c r="P631" s="86">
        <v>672</v>
      </c>
      <c r="Q631" s="97">
        <v>892848</v>
      </c>
      <c r="R631" s="86"/>
      <c r="S631" s="86"/>
      <c r="T631" s="86"/>
      <c r="U631" s="86"/>
      <c r="V631" s="86"/>
      <c r="W631" s="97"/>
      <c r="X631" s="97"/>
      <c r="Y631" s="14"/>
      <c r="Z631" s="12"/>
      <c r="AB631" s="12"/>
      <c r="AC631" s="12"/>
    </row>
    <row r="632" spans="1:29" ht="15" customHeight="1">
      <c r="A632" s="10">
        <f>A631+1</f>
        <v>474</v>
      </c>
      <c r="B632" s="13" t="s">
        <v>463</v>
      </c>
      <c r="C632" s="97">
        <f>D632+K632+M632+O632+Q632+S632+U632+V632+W632+X632</f>
        <v>4218150</v>
      </c>
      <c r="D632" s="86">
        <f>E632+F632+G632+H632+I632</f>
        <v>0</v>
      </c>
      <c r="E632" s="86"/>
      <c r="F632" s="86"/>
      <c r="G632" s="86"/>
      <c r="H632" s="86"/>
      <c r="I632" s="86"/>
      <c r="J632" s="86"/>
      <c r="K632" s="86"/>
      <c r="L632" s="28">
        <v>720</v>
      </c>
      <c r="M632" s="97">
        <v>3325302</v>
      </c>
      <c r="N632" s="86"/>
      <c r="O632" s="86"/>
      <c r="P632" s="86">
        <v>672</v>
      </c>
      <c r="Q632" s="97">
        <v>892848</v>
      </c>
      <c r="R632" s="86"/>
      <c r="S632" s="86"/>
      <c r="T632" s="86"/>
      <c r="U632" s="86"/>
      <c r="V632" s="86"/>
      <c r="W632" s="97"/>
      <c r="X632" s="97"/>
      <c r="Y632" s="14"/>
      <c r="Z632" s="12"/>
      <c r="AB632" s="12"/>
      <c r="AC632" s="12"/>
    </row>
    <row r="633" spans="1:29" ht="15" customHeight="1">
      <c r="A633" s="10">
        <f>A632+1</f>
        <v>475</v>
      </c>
      <c r="B633" s="13" t="s">
        <v>464</v>
      </c>
      <c r="C633" s="97">
        <f>D633+K633+M633+O633+Q633+S633+U633+V633+W633+X633</f>
        <v>4233734</v>
      </c>
      <c r="D633" s="86">
        <f>E633+F633+G633+H633+I633</f>
        <v>0</v>
      </c>
      <c r="E633" s="86"/>
      <c r="F633" s="86"/>
      <c r="G633" s="86"/>
      <c r="H633" s="86"/>
      <c r="I633" s="86"/>
      <c r="J633" s="86"/>
      <c r="K633" s="86"/>
      <c r="L633" s="28">
        <v>760.06</v>
      </c>
      <c r="M633" s="97">
        <v>2878563</v>
      </c>
      <c r="N633" s="86"/>
      <c r="O633" s="86"/>
      <c r="P633" s="86">
        <v>818</v>
      </c>
      <c r="Q633" s="97">
        <v>1355171</v>
      </c>
      <c r="R633" s="86"/>
      <c r="S633" s="86"/>
      <c r="T633" s="86"/>
      <c r="U633" s="86"/>
      <c r="V633" s="86"/>
      <c r="W633" s="97"/>
      <c r="X633" s="97"/>
      <c r="Y633" s="14"/>
      <c r="Z633" s="12"/>
      <c r="AB633" s="12"/>
      <c r="AC633" s="12"/>
    </row>
    <row r="634" spans="1:29" ht="15" customHeight="1">
      <c r="A634" s="130" t="s">
        <v>597</v>
      </c>
      <c r="B634" s="130"/>
      <c r="C634" s="86">
        <f aca="true" t="shared" si="143" ref="C634:X634">SUM(C630:C633)</f>
        <v>15995336</v>
      </c>
      <c r="D634" s="86">
        <f t="shared" si="143"/>
        <v>0</v>
      </c>
      <c r="E634" s="86">
        <f t="shared" si="143"/>
        <v>0</v>
      </c>
      <c r="F634" s="86">
        <f t="shared" si="143"/>
        <v>0</v>
      </c>
      <c r="G634" s="86">
        <f t="shared" si="143"/>
        <v>0</v>
      </c>
      <c r="H634" s="86">
        <f t="shared" si="143"/>
        <v>0</v>
      </c>
      <c r="I634" s="86">
        <f t="shared" si="143"/>
        <v>0</v>
      </c>
      <c r="J634" s="86">
        <f t="shared" si="143"/>
        <v>0</v>
      </c>
      <c r="K634" s="86">
        <f t="shared" si="143"/>
        <v>0</v>
      </c>
      <c r="L634" s="86">
        <f t="shared" si="143"/>
        <v>2920.06</v>
      </c>
      <c r="M634" s="86">
        <f t="shared" si="143"/>
        <v>12854469</v>
      </c>
      <c r="N634" s="86">
        <f t="shared" si="143"/>
        <v>0</v>
      </c>
      <c r="O634" s="86">
        <f t="shared" si="143"/>
        <v>0</v>
      </c>
      <c r="P634" s="86">
        <f t="shared" si="143"/>
        <v>2162</v>
      </c>
      <c r="Q634" s="86">
        <f t="shared" si="143"/>
        <v>3140867</v>
      </c>
      <c r="R634" s="86">
        <f t="shared" si="143"/>
        <v>0</v>
      </c>
      <c r="S634" s="86">
        <f t="shared" si="143"/>
        <v>0</v>
      </c>
      <c r="T634" s="86">
        <f t="shared" si="143"/>
        <v>0</v>
      </c>
      <c r="U634" s="86">
        <f t="shared" si="143"/>
        <v>0</v>
      </c>
      <c r="V634" s="86">
        <f t="shared" si="143"/>
        <v>0</v>
      </c>
      <c r="W634" s="86">
        <f t="shared" si="143"/>
        <v>0</v>
      </c>
      <c r="X634" s="86">
        <f t="shared" si="143"/>
        <v>0</v>
      </c>
      <c r="Y634" s="14"/>
      <c r="Z634" s="12"/>
      <c r="AA634" s="12"/>
      <c r="AB634" s="12"/>
      <c r="AC634" s="12"/>
    </row>
    <row r="635" spans="1:29" ht="15" customHeight="1">
      <c r="A635" s="123" t="s">
        <v>696</v>
      </c>
      <c r="B635" s="123"/>
      <c r="C635" s="123"/>
      <c r="D635" s="127"/>
      <c r="E635" s="127"/>
      <c r="F635" s="127"/>
      <c r="G635" s="127"/>
      <c r="H635" s="127"/>
      <c r="I635" s="127"/>
      <c r="J635" s="127"/>
      <c r="K635" s="127"/>
      <c r="L635" s="127"/>
      <c r="M635" s="127"/>
      <c r="N635" s="127"/>
      <c r="O635" s="127"/>
      <c r="P635" s="127"/>
      <c r="Q635" s="127"/>
      <c r="R635" s="127"/>
      <c r="S635" s="127"/>
      <c r="T635" s="127"/>
      <c r="U635" s="127"/>
      <c r="V635" s="127"/>
      <c r="W635" s="127"/>
      <c r="X635" s="127"/>
      <c r="Y635" s="14"/>
      <c r="Z635" s="12"/>
      <c r="AB635" s="12"/>
      <c r="AC635" s="12"/>
    </row>
    <row r="636" spans="1:29" ht="15" customHeight="1">
      <c r="A636" s="96">
        <f>A633+1</f>
        <v>476</v>
      </c>
      <c r="B636" s="82" t="s">
        <v>21</v>
      </c>
      <c r="C636" s="97">
        <f>D636+K636+M636+O636+Q636+S636+U636+V636+W636+X636</f>
        <v>106830</v>
      </c>
      <c r="D636" s="86">
        <f>E636+F636+G636+H636+I636</f>
        <v>0</v>
      </c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6">
        <v>106830</v>
      </c>
      <c r="X636" s="81"/>
      <c r="Y636" s="14"/>
      <c r="Z636" s="12"/>
      <c r="AB636" s="12"/>
      <c r="AC636" s="12"/>
    </row>
    <row r="637" spans="1:29" ht="15" customHeight="1">
      <c r="A637" s="96">
        <f>A636+1</f>
        <v>477</v>
      </c>
      <c r="B637" s="13" t="s">
        <v>20</v>
      </c>
      <c r="C637" s="97">
        <f>D637+K637+M637+O637+Q637+S637+U637+V637+W637+X637</f>
        <v>91743</v>
      </c>
      <c r="D637" s="86">
        <f>E637+F637+G637+H637+I637</f>
        <v>0</v>
      </c>
      <c r="E637" s="86"/>
      <c r="F637" s="86"/>
      <c r="G637" s="86"/>
      <c r="H637" s="86"/>
      <c r="I637" s="86"/>
      <c r="J637" s="86"/>
      <c r="K637" s="86"/>
      <c r="L637" s="28"/>
      <c r="M637" s="97"/>
      <c r="N637" s="28"/>
      <c r="O637" s="28"/>
      <c r="P637" s="28"/>
      <c r="Q637" s="97"/>
      <c r="R637" s="81"/>
      <c r="S637" s="81"/>
      <c r="T637" s="81"/>
      <c r="U637" s="81"/>
      <c r="V637" s="81"/>
      <c r="W637" s="97">
        <v>91743</v>
      </c>
      <c r="X637" s="97"/>
      <c r="Y637" s="14"/>
      <c r="Z637" s="12"/>
      <c r="AA637" s="12"/>
      <c r="AB637" s="12"/>
      <c r="AC637" s="12"/>
    </row>
    <row r="638" spans="1:29" ht="15" customHeight="1">
      <c r="A638" s="96">
        <f>A637+1</f>
        <v>478</v>
      </c>
      <c r="B638" s="82" t="s">
        <v>22</v>
      </c>
      <c r="C638" s="97">
        <f>D638+K638+M638+O638+Q638+S638+U638+V638+W638+X638</f>
        <v>265760</v>
      </c>
      <c r="D638" s="86">
        <f>E638+F638+G638+H638+I638</f>
        <v>265760</v>
      </c>
      <c r="E638" s="249">
        <v>265760</v>
      </c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14"/>
      <c r="Z638" s="12"/>
      <c r="AB638" s="12"/>
      <c r="AC638" s="12"/>
    </row>
    <row r="639" spans="1:29" ht="15" customHeight="1">
      <c r="A639" s="130" t="s">
        <v>597</v>
      </c>
      <c r="B639" s="130"/>
      <c r="C639" s="86">
        <f aca="true" t="shared" si="144" ref="C639:X639">SUM(C636:C638)</f>
        <v>464333</v>
      </c>
      <c r="D639" s="86">
        <f t="shared" si="144"/>
        <v>265760</v>
      </c>
      <c r="E639" s="86">
        <f t="shared" si="144"/>
        <v>265760</v>
      </c>
      <c r="F639" s="86">
        <f t="shared" si="144"/>
        <v>0</v>
      </c>
      <c r="G639" s="86">
        <f t="shared" si="144"/>
        <v>0</v>
      </c>
      <c r="H639" s="86">
        <f t="shared" si="144"/>
        <v>0</v>
      </c>
      <c r="I639" s="86">
        <f t="shared" si="144"/>
        <v>0</v>
      </c>
      <c r="J639" s="86">
        <f t="shared" si="144"/>
        <v>0</v>
      </c>
      <c r="K639" s="86">
        <f t="shared" si="144"/>
        <v>0</v>
      </c>
      <c r="L639" s="86">
        <f t="shared" si="144"/>
        <v>0</v>
      </c>
      <c r="M639" s="86">
        <f t="shared" si="144"/>
        <v>0</v>
      </c>
      <c r="N639" s="86">
        <f t="shared" si="144"/>
        <v>0</v>
      </c>
      <c r="O639" s="86">
        <f t="shared" si="144"/>
        <v>0</v>
      </c>
      <c r="P639" s="86">
        <f t="shared" si="144"/>
        <v>0</v>
      </c>
      <c r="Q639" s="86">
        <f t="shared" si="144"/>
        <v>0</v>
      </c>
      <c r="R639" s="86">
        <f t="shared" si="144"/>
        <v>0</v>
      </c>
      <c r="S639" s="86">
        <f t="shared" si="144"/>
        <v>0</v>
      </c>
      <c r="T639" s="86">
        <f t="shared" si="144"/>
        <v>0</v>
      </c>
      <c r="U639" s="86">
        <f t="shared" si="144"/>
        <v>0</v>
      </c>
      <c r="V639" s="86">
        <f t="shared" si="144"/>
        <v>0</v>
      </c>
      <c r="W639" s="86">
        <f t="shared" si="144"/>
        <v>198573</v>
      </c>
      <c r="X639" s="86">
        <f t="shared" si="144"/>
        <v>0</v>
      </c>
      <c r="Y639" s="14"/>
      <c r="Z639" s="12"/>
      <c r="AA639" s="12"/>
      <c r="AB639" s="12"/>
      <c r="AC639" s="12"/>
    </row>
    <row r="640" spans="1:29" ht="15" customHeight="1">
      <c r="A640" s="123" t="s">
        <v>657</v>
      </c>
      <c r="B640" s="123"/>
      <c r="C640" s="123"/>
      <c r="D640" s="127"/>
      <c r="E640" s="127"/>
      <c r="F640" s="127"/>
      <c r="G640" s="127"/>
      <c r="H640" s="127"/>
      <c r="I640" s="127"/>
      <c r="J640" s="127"/>
      <c r="K640" s="127"/>
      <c r="L640" s="127"/>
      <c r="M640" s="127"/>
      <c r="N640" s="127"/>
      <c r="O640" s="127"/>
      <c r="P640" s="127"/>
      <c r="Q640" s="127"/>
      <c r="R640" s="127"/>
      <c r="S640" s="127"/>
      <c r="T640" s="127"/>
      <c r="U640" s="127"/>
      <c r="V640" s="127"/>
      <c r="W640" s="127"/>
      <c r="X640" s="127"/>
      <c r="Y640" s="14"/>
      <c r="Z640" s="12"/>
      <c r="AB640" s="12"/>
      <c r="AC640" s="12"/>
    </row>
    <row r="641" spans="1:29" ht="15" customHeight="1">
      <c r="A641" s="10">
        <f>A638+1</f>
        <v>479</v>
      </c>
      <c r="B641" s="13" t="s">
        <v>466</v>
      </c>
      <c r="C641" s="97">
        <f>D641+K641+M641+O641+Q641+S641+U641+V641+W641+X641</f>
        <v>5017166</v>
      </c>
      <c r="D641" s="86">
        <f>E641+F641+G641+H641+I641</f>
        <v>0</v>
      </c>
      <c r="E641" s="86"/>
      <c r="F641" s="86"/>
      <c r="G641" s="86"/>
      <c r="H641" s="86"/>
      <c r="I641" s="86"/>
      <c r="J641" s="86"/>
      <c r="K641" s="86"/>
      <c r="L641" s="86">
        <v>440.8</v>
      </c>
      <c r="M641" s="97">
        <v>2566980</v>
      </c>
      <c r="N641" s="28"/>
      <c r="O641" s="28"/>
      <c r="P641" s="28">
        <v>818</v>
      </c>
      <c r="Q641" s="97">
        <v>2339209</v>
      </c>
      <c r="R641" s="86"/>
      <c r="S641" s="86"/>
      <c r="T641" s="86"/>
      <c r="U641" s="86"/>
      <c r="V641" s="86"/>
      <c r="W641" s="86">
        <v>110977</v>
      </c>
      <c r="X641" s="86"/>
      <c r="Y641" s="14"/>
      <c r="Z641" s="12"/>
      <c r="AA641" s="12"/>
      <c r="AB641" s="12"/>
      <c r="AC641" s="12"/>
    </row>
    <row r="642" spans="1:29" ht="15" customHeight="1">
      <c r="A642" s="10">
        <f>A641+1</f>
        <v>480</v>
      </c>
      <c r="B642" s="13" t="s">
        <v>467</v>
      </c>
      <c r="C642" s="97">
        <f>D642+K642+M642+O642+Q642+S642+U642+V642+W642+X642</f>
        <v>6521265</v>
      </c>
      <c r="D642" s="86">
        <f>E642+F642+G642+H642+I642</f>
        <v>0</v>
      </c>
      <c r="E642" s="86"/>
      <c r="F642" s="86"/>
      <c r="G642" s="86"/>
      <c r="H642" s="86"/>
      <c r="I642" s="86"/>
      <c r="J642" s="86"/>
      <c r="K642" s="86"/>
      <c r="L642" s="86">
        <v>533</v>
      </c>
      <c r="M642" s="86">
        <v>3423323</v>
      </c>
      <c r="N642" s="28"/>
      <c r="O642" s="28"/>
      <c r="P642" s="28">
        <v>818</v>
      </c>
      <c r="Q642" s="97">
        <v>3003847</v>
      </c>
      <c r="R642" s="86"/>
      <c r="S642" s="86"/>
      <c r="T642" s="86"/>
      <c r="U642" s="86"/>
      <c r="V642" s="86"/>
      <c r="W642" s="86">
        <v>94095</v>
      </c>
      <c r="X642" s="86"/>
      <c r="Y642" s="14"/>
      <c r="Z642" s="12"/>
      <c r="AA642" s="12"/>
      <c r="AB642" s="12"/>
      <c r="AC642" s="12"/>
    </row>
    <row r="643" spans="1:29" ht="15" customHeight="1">
      <c r="A643" s="10">
        <f>A642+1</f>
        <v>481</v>
      </c>
      <c r="B643" s="13" t="s">
        <v>468</v>
      </c>
      <c r="C643" s="97">
        <f>D643+K643+M643+O643+Q643+S643+U643+V643+W643+X643</f>
        <v>508743</v>
      </c>
      <c r="D643" s="86">
        <f>E643+F643+G643+H643+I643</f>
        <v>0</v>
      </c>
      <c r="E643" s="86"/>
      <c r="F643" s="86"/>
      <c r="G643" s="86"/>
      <c r="H643" s="86"/>
      <c r="I643" s="86"/>
      <c r="J643" s="86"/>
      <c r="K643" s="86"/>
      <c r="L643" s="86"/>
      <c r="M643" s="86"/>
      <c r="N643" s="28">
        <v>224.3</v>
      </c>
      <c r="O643" s="28">
        <v>414648</v>
      </c>
      <c r="P643" s="28"/>
      <c r="Q643" s="97"/>
      <c r="R643" s="86"/>
      <c r="S643" s="86"/>
      <c r="T643" s="86"/>
      <c r="U643" s="86"/>
      <c r="V643" s="86"/>
      <c r="W643" s="86">
        <f>94095</f>
        <v>94095</v>
      </c>
      <c r="X643" s="86"/>
      <c r="Y643" s="14"/>
      <c r="Z643" s="12"/>
      <c r="AA643" s="12"/>
      <c r="AB643" s="12"/>
      <c r="AC643" s="12"/>
    </row>
    <row r="644" spans="1:29" ht="15" customHeight="1">
      <c r="A644" s="10">
        <f>A643+1</f>
        <v>482</v>
      </c>
      <c r="B644" s="13" t="s">
        <v>469</v>
      </c>
      <c r="C644" s="97">
        <f>D644+K644+M644+O644+Q644+S644+U644+V644+W644+X644</f>
        <v>7044877</v>
      </c>
      <c r="D644" s="86">
        <f>E644+F644+G644+H644+I644</f>
        <v>0</v>
      </c>
      <c r="E644" s="86"/>
      <c r="F644" s="86"/>
      <c r="G644" s="86"/>
      <c r="H644" s="86"/>
      <c r="I644" s="86"/>
      <c r="J644" s="86"/>
      <c r="K644" s="86"/>
      <c r="L644" s="86">
        <v>522</v>
      </c>
      <c r="M644" s="86">
        <v>3301288</v>
      </c>
      <c r="N644" s="28">
        <v>223.4</v>
      </c>
      <c r="O644" s="28">
        <v>430616</v>
      </c>
      <c r="P644" s="28">
        <v>818</v>
      </c>
      <c r="Q644" s="97">
        <v>3217274</v>
      </c>
      <c r="R644" s="86"/>
      <c r="S644" s="86"/>
      <c r="T644" s="86"/>
      <c r="U644" s="86"/>
      <c r="V644" s="86"/>
      <c r="W644" s="86">
        <f>95699</f>
        <v>95699</v>
      </c>
      <c r="X644" s="86"/>
      <c r="Y644" s="14"/>
      <c r="Z644" s="12"/>
      <c r="AA644" s="12"/>
      <c r="AB644" s="12"/>
      <c r="AC644" s="12"/>
    </row>
    <row r="645" spans="1:29" ht="15" customHeight="1">
      <c r="A645" s="130" t="s">
        <v>597</v>
      </c>
      <c r="B645" s="130"/>
      <c r="C645" s="86">
        <f>SUM(C641:C644)</f>
        <v>19092051</v>
      </c>
      <c r="D645" s="86">
        <f aca="true" t="shared" si="145" ref="D645:X645">SUM(D641:D644)</f>
        <v>0</v>
      </c>
      <c r="E645" s="86">
        <f t="shared" si="145"/>
        <v>0</v>
      </c>
      <c r="F645" s="86">
        <f t="shared" si="145"/>
        <v>0</v>
      </c>
      <c r="G645" s="86">
        <f t="shared" si="145"/>
        <v>0</v>
      </c>
      <c r="H645" s="86">
        <f t="shared" si="145"/>
        <v>0</v>
      </c>
      <c r="I645" s="86">
        <f t="shared" si="145"/>
        <v>0</v>
      </c>
      <c r="J645" s="86">
        <f t="shared" si="145"/>
        <v>0</v>
      </c>
      <c r="K645" s="86">
        <f t="shared" si="145"/>
        <v>0</v>
      </c>
      <c r="L645" s="86">
        <f t="shared" si="145"/>
        <v>1495.8</v>
      </c>
      <c r="M645" s="86">
        <f t="shared" si="145"/>
        <v>9291591</v>
      </c>
      <c r="N645" s="86">
        <f t="shared" si="145"/>
        <v>447.70000000000005</v>
      </c>
      <c r="O645" s="86">
        <f t="shared" si="145"/>
        <v>845264</v>
      </c>
      <c r="P645" s="86">
        <f t="shared" si="145"/>
        <v>2454</v>
      </c>
      <c r="Q645" s="86">
        <f t="shared" si="145"/>
        <v>8560330</v>
      </c>
      <c r="R645" s="86">
        <f t="shared" si="145"/>
        <v>0</v>
      </c>
      <c r="S645" s="86">
        <f t="shared" si="145"/>
        <v>0</v>
      </c>
      <c r="T645" s="86">
        <f t="shared" si="145"/>
        <v>0</v>
      </c>
      <c r="U645" s="86">
        <f t="shared" si="145"/>
        <v>0</v>
      </c>
      <c r="V645" s="86">
        <f t="shared" si="145"/>
        <v>0</v>
      </c>
      <c r="W645" s="86">
        <f t="shared" si="145"/>
        <v>394866</v>
      </c>
      <c r="X645" s="86">
        <f t="shared" si="145"/>
        <v>0</v>
      </c>
      <c r="Y645" s="14"/>
      <c r="Z645" s="12"/>
      <c r="AA645" s="12"/>
      <c r="AB645" s="12"/>
      <c r="AC645" s="12"/>
    </row>
    <row r="646" spans="1:29" ht="15" customHeight="1">
      <c r="A646" s="123" t="s">
        <v>659</v>
      </c>
      <c r="B646" s="123"/>
      <c r="C646" s="123"/>
      <c r="D646" s="127"/>
      <c r="E646" s="127"/>
      <c r="F646" s="127"/>
      <c r="G646" s="127"/>
      <c r="H646" s="127"/>
      <c r="I646" s="127"/>
      <c r="J646" s="127"/>
      <c r="K646" s="127"/>
      <c r="L646" s="127"/>
      <c r="M646" s="127"/>
      <c r="N646" s="127"/>
      <c r="O646" s="127"/>
      <c r="P646" s="127"/>
      <c r="Q646" s="127"/>
      <c r="R646" s="127"/>
      <c r="S646" s="127"/>
      <c r="T646" s="127"/>
      <c r="U646" s="127"/>
      <c r="V646" s="127"/>
      <c r="W646" s="127"/>
      <c r="X646" s="127"/>
      <c r="Y646" s="14"/>
      <c r="Z646" s="12"/>
      <c r="AB646" s="12"/>
      <c r="AC646" s="12"/>
    </row>
    <row r="647" spans="1:29" ht="15" customHeight="1">
      <c r="A647" s="10">
        <f>A644+1</f>
        <v>483</v>
      </c>
      <c r="B647" s="262" t="s">
        <v>470</v>
      </c>
      <c r="C647" s="97">
        <f>D647+K647+M647+O647+Q647+S647+U647+V647+W647+X647</f>
        <v>1849278</v>
      </c>
      <c r="D647" s="86">
        <f>E647+F647+G647+H647+I647</f>
        <v>0</v>
      </c>
      <c r="E647" s="86"/>
      <c r="F647" s="86"/>
      <c r="G647" s="86"/>
      <c r="H647" s="86"/>
      <c r="I647" s="86"/>
      <c r="J647" s="86"/>
      <c r="K647" s="86"/>
      <c r="L647" s="28">
        <v>499</v>
      </c>
      <c r="M647" s="97">
        <v>1849278</v>
      </c>
      <c r="N647" s="28"/>
      <c r="O647" s="28"/>
      <c r="P647" s="28"/>
      <c r="Q647" s="28"/>
      <c r="R647" s="28"/>
      <c r="S647" s="28"/>
      <c r="T647" s="86"/>
      <c r="U647" s="86"/>
      <c r="V647" s="86"/>
      <c r="W647" s="97"/>
      <c r="X647" s="97"/>
      <c r="Y647" s="14"/>
      <c r="Z647" s="12"/>
      <c r="AB647" s="12"/>
      <c r="AC647" s="12"/>
    </row>
    <row r="648" spans="1:29" ht="15" customHeight="1">
      <c r="A648" s="96">
        <f>A647+1</f>
        <v>484</v>
      </c>
      <c r="B648" s="263" t="s">
        <v>471</v>
      </c>
      <c r="C648" s="97">
        <f>D648+K648+M648+O648+Q648+S648+U648+V648+W648+X648</f>
        <v>3749636</v>
      </c>
      <c r="D648" s="86">
        <f>E648+F648+G648+H648+I648</f>
        <v>0</v>
      </c>
      <c r="E648" s="86"/>
      <c r="F648" s="86"/>
      <c r="G648" s="86"/>
      <c r="H648" s="86"/>
      <c r="I648" s="86"/>
      <c r="J648" s="86"/>
      <c r="K648" s="86"/>
      <c r="L648" s="86">
        <v>1104</v>
      </c>
      <c r="M648" s="86">
        <v>3749636</v>
      </c>
      <c r="N648" s="86"/>
      <c r="O648" s="86"/>
      <c r="P648" s="86"/>
      <c r="Q648" s="86"/>
      <c r="R648" s="86"/>
      <c r="S648" s="86"/>
      <c r="T648" s="86"/>
      <c r="U648" s="86"/>
      <c r="V648" s="86"/>
      <c r="W648" s="86"/>
      <c r="X648" s="86"/>
      <c r="Y648" s="14"/>
      <c r="Z648" s="12"/>
      <c r="AB648" s="12"/>
      <c r="AC648" s="12"/>
    </row>
    <row r="649" spans="1:29" ht="15" customHeight="1">
      <c r="A649" s="130" t="s">
        <v>597</v>
      </c>
      <c r="B649" s="130"/>
      <c r="C649" s="86">
        <f>SUM(C647:C648)</f>
        <v>5598914</v>
      </c>
      <c r="D649" s="86">
        <f aca="true" t="shared" si="146" ref="D649:X649">SUM(D647:D648)</f>
        <v>0</v>
      </c>
      <c r="E649" s="86">
        <f t="shared" si="146"/>
        <v>0</v>
      </c>
      <c r="F649" s="86">
        <f t="shared" si="146"/>
        <v>0</v>
      </c>
      <c r="G649" s="86">
        <f t="shared" si="146"/>
        <v>0</v>
      </c>
      <c r="H649" s="86">
        <f t="shared" si="146"/>
        <v>0</v>
      </c>
      <c r="I649" s="86">
        <f t="shared" si="146"/>
        <v>0</v>
      </c>
      <c r="J649" s="86">
        <f t="shared" si="146"/>
        <v>0</v>
      </c>
      <c r="K649" s="86">
        <f t="shared" si="146"/>
        <v>0</v>
      </c>
      <c r="L649" s="86">
        <f t="shared" si="146"/>
        <v>1603</v>
      </c>
      <c r="M649" s="86">
        <f t="shared" si="146"/>
        <v>5598914</v>
      </c>
      <c r="N649" s="86">
        <f t="shared" si="146"/>
        <v>0</v>
      </c>
      <c r="O649" s="86">
        <f t="shared" si="146"/>
        <v>0</v>
      </c>
      <c r="P649" s="86">
        <f t="shared" si="146"/>
        <v>0</v>
      </c>
      <c r="Q649" s="86">
        <f t="shared" si="146"/>
        <v>0</v>
      </c>
      <c r="R649" s="86">
        <f t="shared" si="146"/>
        <v>0</v>
      </c>
      <c r="S649" s="86">
        <f t="shared" si="146"/>
        <v>0</v>
      </c>
      <c r="T649" s="86">
        <f t="shared" si="146"/>
        <v>0</v>
      </c>
      <c r="U649" s="86">
        <f t="shared" si="146"/>
        <v>0</v>
      </c>
      <c r="V649" s="86">
        <f t="shared" si="146"/>
        <v>0</v>
      </c>
      <c r="W649" s="86">
        <f t="shared" si="146"/>
        <v>0</v>
      </c>
      <c r="X649" s="86">
        <f t="shared" si="146"/>
        <v>0</v>
      </c>
      <c r="Y649" s="14"/>
      <c r="Z649" s="12"/>
      <c r="AA649" s="12"/>
      <c r="AB649" s="12"/>
      <c r="AC649" s="12"/>
    </row>
    <row r="650" spans="1:29" ht="15" customHeight="1">
      <c r="A650" s="123" t="s">
        <v>660</v>
      </c>
      <c r="B650" s="123"/>
      <c r="C650" s="81">
        <f aca="true" t="shared" si="147" ref="C650:X650">C628+C634+C639+C645+C649</f>
        <v>50791795</v>
      </c>
      <c r="D650" s="81">
        <f t="shared" si="147"/>
        <v>265760</v>
      </c>
      <c r="E650" s="81">
        <f t="shared" si="147"/>
        <v>265760</v>
      </c>
      <c r="F650" s="81">
        <f t="shared" si="147"/>
        <v>0</v>
      </c>
      <c r="G650" s="81">
        <f t="shared" si="147"/>
        <v>0</v>
      </c>
      <c r="H650" s="81">
        <f t="shared" si="147"/>
        <v>0</v>
      </c>
      <c r="I650" s="81">
        <f t="shared" si="147"/>
        <v>0</v>
      </c>
      <c r="J650" s="81">
        <f t="shared" si="147"/>
        <v>0</v>
      </c>
      <c r="K650" s="81">
        <f t="shared" si="147"/>
        <v>0</v>
      </c>
      <c r="L650" s="81">
        <f t="shared" si="147"/>
        <v>8144.86</v>
      </c>
      <c r="M650" s="81">
        <f t="shared" si="147"/>
        <v>37386135</v>
      </c>
      <c r="N650" s="81">
        <f t="shared" si="147"/>
        <v>447.70000000000005</v>
      </c>
      <c r="O650" s="81">
        <f t="shared" si="147"/>
        <v>845264</v>
      </c>
      <c r="P650" s="81">
        <f t="shared" si="147"/>
        <v>4616</v>
      </c>
      <c r="Q650" s="81">
        <f t="shared" si="147"/>
        <v>11701197</v>
      </c>
      <c r="R650" s="81">
        <f t="shared" si="147"/>
        <v>0</v>
      </c>
      <c r="S650" s="81">
        <f t="shared" si="147"/>
        <v>0</v>
      </c>
      <c r="T650" s="81">
        <f t="shared" si="147"/>
        <v>0</v>
      </c>
      <c r="U650" s="81">
        <f t="shared" si="147"/>
        <v>0</v>
      </c>
      <c r="V650" s="81">
        <f t="shared" si="147"/>
        <v>0</v>
      </c>
      <c r="W650" s="81">
        <f t="shared" si="147"/>
        <v>593439</v>
      </c>
      <c r="X650" s="81">
        <f t="shared" si="147"/>
        <v>0</v>
      </c>
      <c r="Y650" s="14"/>
      <c r="Z650" s="12"/>
      <c r="AA650" s="12"/>
      <c r="AB650" s="12"/>
      <c r="AC650" s="12"/>
    </row>
    <row r="651" spans="1:29" ht="15.75" customHeight="1">
      <c r="A651" s="137" t="s">
        <v>661</v>
      </c>
      <c r="B651" s="137"/>
      <c r="C651" s="137"/>
      <c r="D651" s="137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4"/>
      <c r="Z651" s="12"/>
      <c r="AB651" s="12"/>
      <c r="AC651" s="12"/>
    </row>
    <row r="652" spans="1:29" s="26" customFormat="1" ht="15" customHeight="1">
      <c r="A652" s="128" t="s">
        <v>764</v>
      </c>
      <c r="B652" s="129"/>
      <c r="C652" s="129"/>
      <c r="D652" s="98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100"/>
      <c r="Y652" s="267"/>
      <c r="Z652" s="268"/>
      <c r="AA652" s="268"/>
      <c r="AB652" s="12"/>
      <c r="AC652" s="12"/>
    </row>
    <row r="653" spans="1:29" s="253" customFormat="1" ht="20.25" customHeight="1">
      <c r="A653" s="30">
        <f>A648+1</f>
        <v>485</v>
      </c>
      <c r="B653" s="82" t="s">
        <v>851</v>
      </c>
      <c r="C653" s="97">
        <f>D653+K653+M653+O653+Q653+S653+U653+V653+W653+X653</f>
        <v>1057555</v>
      </c>
      <c r="D653" s="86">
        <f>E653+F653+G653+H653+I653</f>
        <v>1057555</v>
      </c>
      <c r="E653" s="249">
        <v>1057555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250"/>
      <c r="Y653" s="251"/>
      <c r="Z653" s="252"/>
      <c r="AA653" s="252"/>
      <c r="AB653" s="12"/>
      <c r="AC653" s="12"/>
    </row>
    <row r="654" spans="1:29" s="253" customFormat="1" ht="15" customHeight="1">
      <c r="A654" s="118" t="s">
        <v>597</v>
      </c>
      <c r="B654" s="119"/>
      <c r="C654" s="31">
        <f>SUM(C653:C653)</f>
        <v>1057555</v>
      </c>
      <c r="D654" s="31">
        <f aca="true" t="shared" si="148" ref="D654:X654">SUM(D653:D653)</f>
        <v>1057555</v>
      </c>
      <c r="E654" s="31">
        <f t="shared" si="148"/>
        <v>1057555</v>
      </c>
      <c r="F654" s="31">
        <f t="shared" si="148"/>
        <v>0</v>
      </c>
      <c r="G654" s="31">
        <f t="shared" si="148"/>
        <v>0</v>
      </c>
      <c r="H654" s="31">
        <f t="shared" si="148"/>
        <v>0</v>
      </c>
      <c r="I654" s="31">
        <f t="shared" si="148"/>
        <v>0</v>
      </c>
      <c r="J654" s="31">
        <f t="shared" si="148"/>
        <v>0</v>
      </c>
      <c r="K654" s="31">
        <f t="shared" si="148"/>
        <v>0</v>
      </c>
      <c r="L654" s="31">
        <f t="shared" si="148"/>
        <v>0</v>
      </c>
      <c r="M654" s="31">
        <f t="shared" si="148"/>
        <v>0</v>
      </c>
      <c r="N654" s="31">
        <f t="shared" si="148"/>
        <v>0</v>
      </c>
      <c r="O654" s="31">
        <f t="shared" si="148"/>
        <v>0</v>
      </c>
      <c r="P654" s="31">
        <f t="shared" si="148"/>
        <v>0</v>
      </c>
      <c r="Q654" s="31">
        <f t="shared" si="148"/>
        <v>0</v>
      </c>
      <c r="R654" s="31">
        <f t="shared" si="148"/>
        <v>0</v>
      </c>
      <c r="S654" s="31">
        <f t="shared" si="148"/>
        <v>0</v>
      </c>
      <c r="T654" s="31">
        <f t="shared" si="148"/>
        <v>0</v>
      </c>
      <c r="U654" s="31">
        <f t="shared" si="148"/>
        <v>0</v>
      </c>
      <c r="V654" s="31">
        <f t="shared" si="148"/>
        <v>0</v>
      </c>
      <c r="W654" s="31">
        <f t="shared" si="148"/>
        <v>0</v>
      </c>
      <c r="X654" s="31">
        <f t="shared" si="148"/>
        <v>0</v>
      </c>
      <c r="Y654" s="14"/>
      <c r="Z654" s="12"/>
      <c r="AA654" s="252"/>
      <c r="AB654" s="12"/>
      <c r="AC654" s="12"/>
    </row>
    <row r="655" spans="1:29" ht="12.75" customHeight="1">
      <c r="A655" s="136" t="s">
        <v>697</v>
      </c>
      <c r="B655" s="136"/>
      <c r="C655" s="136"/>
      <c r="D655" s="127"/>
      <c r="E655" s="127"/>
      <c r="F655" s="127"/>
      <c r="G655" s="127"/>
      <c r="H655" s="127"/>
      <c r="I655" s="127"/>
      <c r="J655" s="127"/>
      <c r="K655" s="127"/>
      <c r="L655" s="127"/>
      <c r="M655" s="127"/>
      <c r="N655" s="127"/>
      <c r="O655" s="127"/>
      <c r="P655" s="127"/>
      <c r="Q655" s="127"/>
      <c r="R655" s="127"/>
      <c r="S655" s="127"/>
      <c r="T655" s="127"/>
      <c r="U655" s="127"/>
      <c r="V655" s="127"/>
      <c r="W655" s="127"/>
      <c r="X655" s="127"/>
      <c r="Y655" s="14"/>
      <c r="Z655" s="12"/>
      <c r="AB655" s="12"/>
      <c r="AC655" s="12"/>
    </row>
    <row r="656" spans="1:29" ht="12.75" customHeight="1">
      <c r="A656" s="30">
        <f>A653+1</f>
        <v>486</v>
      </c>
      <c r="B656" s="15" t="s">
        <v>506</v>
      </c>
      <c r="C656" s="97">
        <f>D656+K656+M656+O656+Q656+S656+U656+V656+W656+X656</f>
        <v>6931339</v>
      </c>
      <c r="D656" s="86">
        <f>E656+F656+G656+H656+I656</f>
        <v>0</v>
      </c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>
        <v>1213</v>
      </c>
      <c r="Q656" s="31">
        <v>6761047</v>
      </c>
      <c r="R656" s="31"/>
      <c r="S656" s="31"/>
      <c r="T656" s="31"/>
      <c r="U656" s="31"/>
      <c r="V656" s="31"/>
      <c r="W656" s="31">
        <v>170292</v>
      </c>
      <c r="X656" s="31"/>
      <c r="Y656" s="14"/>
      <c r="Z656" s="12"/>
      <c r="AB656" s="12"/>
      <c r="AC656" s="12"/>
    </row>
    <row r="657" spans="1:29" ht="12.75" customHeight="1">
      <c r="A657" s="130" t="s">
        <v>597</v>
      </c>
      <c r="B657" s="130"/>
      <c r="C657" s="97">
        <f>SUM(C656)</f>
        <v>6931339</v>
      </c>
      <c r="D657" s="97">
        <f>SUM(D656)</f>
        <v>0</v>
      </c>
      <c r="E657" s="97">
        <f aca="true" t="shared" si="149" ref="E657:X657">SUM(E656)</f>
        <v>0</v>
      </c>
      <c r="F657" s="97">
        <f t="shared" si="149"/>
        <v>0</v>
      </c>
      <c r="G657" s="97">
        <f t="shared" si="149"/>
        <v>0</v>
      </c>
      <c r="H657" s="97">
        <f t="shared" si="149"/>
        <v>0</v>
      </c>
      <c r="I657" s="97">
        <f t="shared" si="149"/>
        <v>0</v>
      </c>
      <c r="J657" s="97">
        <f t="shared" si="149"/>
        <v>0</v>
      </c>
      <c r="K657" s="97">
        <f t="shared" si="149"/>
        <v>0</v>
      </c>
      <c r="L657" s="97">
        <f t="shared" si="149"/>
        <v>0</v>
      </c>
      <c r="M657" s="97">
        <f t="shared" si="149"/>
        <v>0</v>
      </c>
      <c r="N657" s="97">
        <f t="shared" si="149"/>
        <v>0</v>
      </c>
      <c r="O657" s="97">
        <f t="shared" si="149"/>
        <v>0</v>
      </c>
      <c r="P657" s="97">
        <f t="shared" si="149"/>
        <v>1213</v>
      </c>
      <c r="Q657" s="97">
        <f t="shared" si="149"/>
        <v>6761047</v>
      </c>
      <c r="R657" s="97">
        <f t="shared" si="149"/>
        <v>0</v>
      </c>
      <c r="S657" s="97">
        <f t="shared" si="149"/>
        <v>0</v>
      </c>
      <c r="T657" s="97">
        <f t="shared" si="149"/>
        <v>0</v>
      </c>
      <c r="U657" s="97">
        <f t="shared" si="149"/>
        <v>0</v>
      </c>
      <c r="V657" s="97">
        <f t="shared" si="149"/>
        <v>0</v>
      </c>
      <c r="W657" s="97">
        <f t="shared" si="149"/>
        <v>170292</v>
      </c>
      <c r="X657" s="97">
        <f t="shared" si="149"/>
        <v>0</v>
      </c>
      <c r="Y657" s="14"/>
      <c r="Z657" s="12"/>
      <c r="AA657" s="12"/>
      <c r="AB657" s="12"/>
      <c r="AC657" s="12"/>
    </row>
    <row r="658" spans="1:29" ht="15" customHeight="1">
      <c r="A658" s="136" t="s">
        <v>662</v>
      </c>
      <c r="B658" s="136"/>
      <c r="C658" s="136"/>
      <c r="D658" s="127"/>
      <c r="E658" s="127"/>
      <c r="F658" s="127"/>
      <c r="G658" s="127"/>
      <c r="H658" s="127"/>
      <c r="I658" s="127"/>
      <c r="J658" s="127"/>
      <c r="K658" s="127"/>
      <c r="L658" s="127"/>
      <c r="M658" s="127"/>
      <c r="N658" s="127"/>
      <c r="O658" s="127"/>
      <c r="P658" s="127"/>
      <c r="Q658" s="127"/>
      <c r="R658" s="127"/>
      <c r="S658" s="127"/>
      <c r="T658" s="127"/>
      <c r="U658" s="127"/>
      <c r="V658" s="127"/>
      <c r="W658" s="127"/>
      <c r="X658" s="127"/>
      <c r="Y658" s="14"/>
      <c r="Z658" s="12"/>
      <c r="AB658" s="12"/>
      <c r="AC658" s="12"/>
    </row>
    <row r="659" spans="1:29" ht="12.75" customHeight="1">
      <c r="A659" s="30">
        <f>A656+1</f>
        <v>487</v>
      </c>
      <c r="B659" s="238" t="s">
        <v>493</v>
      </c>
      <c r="C659" s="97">
        <f>D659+K659+M659+O659+Q659+S659+U659+V659+W659+X659</f>
        <v>238004</v>
      </c>
      <c r="D659" s="86">
        <f>E659+F659+G659+H659+I659</f>
        <v>238004</v>
      </c>
      <c r="E659" s="86"/>
      <c r="F659" s="86"/>
      <c r="G659" s="86">
        <v>238004</v>
      </c>
      <c r="H659" s="86"/>
      <c r="I659" s="86"/>
      <c r="J659" s="86"/>
      <c r="K659" s="86"/>
      <c r="L659" s="86"/>
      <c r="M659" s="86"/>
      <c r="N659" s="86"/>
      <c r="O659" s="86"/>
      <c r="P659" s="86"/>
      <c r="Q659" s="86"/>
      <c r="R659" s="86"/>
      <c r="S659" s="86"/>
      <c r="T659" s="86"/>
      <c r="U659" s="86"/>
      <c r="V659" s="86"/>
      <c r="W659" s="86"/>
      <c r="X659" s="86"/>
      <c r="Y659" s="14"/>
      <c r="Z659" s="12"/>
      <c r="AB659" s="12"/>
      <c r="AC659" s="12"/>
    </row>
    <row r="660" spans="1:29" ht="12.75" customHeight="1">
      <c r="A660" s="30">
        <f>A659+1</f>
        <v>488</v>
      </c>
      <c r="B660" s="238" t="s">
        <v>472</v>
      </c>
      <c r="C660" s="97">
        <f aca="true" t="shared" si="150" ref="C660:C693">D660+K660+M660+O660+Q660+S660+U660+V660+W660+X660</f>
        <v>112916</v>
      </c>
      <c r="D660" s="86">
        <f aca="true" t="shared" si="151" ref="D660:D693">E660+F660+G660+H660+I660</f>
        <v>0</v>
      </c>
      <c r="E660" s="86"/>
      <c r="F660" s="86"/>
      <c r="G660" s="86"/>
      <c r="H660" s="86"/>
      <c r="I660" s="86"/>
      <c r="J660" s="86"/>
      <c r="K660" s="86"/>
      <c r="L660" s="86"/>
      <c r="M660" s="86"/>
      <c r="N660" s="86"/>
      <c r="O660" s="86"/>
      <c r="P660" s="86"/>
      <c r="Q660" s="86"/>
      <c r="R660" s="86"/>
      <c r="S660" s="86"/>
      <c r="T660" s="86"/>
      <c r="U660" s="86"/>
      <c r="V660" s="86"/>
      <c r="W660" s="86">
        <v>112916</v>
      </c>
      <c r="X660" s="86"/>
      <c r="Y660" s="14"/>
      <c r="Z660" s="12"/>
      <c r="AB660" s="12"/>
      <c r="AC660" s="12"/>
    </row>
    <row r="661" spans="1:29" ht="12.75" customHeight="1">
      <c r="A661" s="30">
        <f aca="true" t="shared" si="152" ref="A661:A693">A660+1</f>
        <v>489</v>
      </c>
      <c r="B661" s="238" t="s">
        <v>486</v>
      </c>
      <c r="C661" s="97">
        <f t="shared" si="150"/>
        <v>848705</v>
      </c>
      <c r="D661" s="86">
        <f t="shared" si="151"/>
        <v>0</v>
      </c>
      <c r="E661" s="86"/>
      <c r="F661" s="86"/>
      <c r="G661" s="86"/>
      <c r="H661" s="86"/>
      <c r="I661" s="86"/>
      <c r="J661" s="86"/>
      <c r="K661" s="86"/>
      <c r="L661" s="86">
        <v>764</v>
      </c>
      <c r="M661" s="86">
        <v>848705</v>
      </c>
      <c r="N661" s="86"/>
      <c r="O661" s="86"/>
      <c r="P661" s="86"/>
      <c r="Q661" s="86"/>
      <c r="R661" s="86"/>
      <c r="S661" s="86"/>
      <c r="T661" s="86"/>
      <c r="U661" s="86"/>
      <c r="V661" s="86"/>
      <c r="W661" s="86"/>
      <c r="X661" s="86"/>
      <c r="Y661" s="14"/>
      <c r="Z661" s="12"/>
      <c r="AB661" s="12"/>
      <c r="AC661" s="12"/>
    </row>
    <row r="662" spans="1:29" ht="12.75" customHeight="1">
      <c r="A662" s="30">
        <f t="shared" si="152"/>
        <v>490</v>
      </c>
      <c r="B662" s="238" t="s">
        <v>473</v>
      </c>
      <c r="C662" s="97">
        <f t="shared" si="150"/>
        <v>177799</v>
      </c>
      <c r="D662" s="86">
        <f t="shared" si="151"/>
        <v>0</v>
      </c>
      <c r="E662" s="86"/>
      <c r="F662" s="86"/>
      <c r="G662" s="86"/>
      <c r="H662" s="86"/>
      <c r="I662" s="86"/>
      <c r="J662" s="86"/>
      <c r="K662" s="86"/>
      <c r="L662" s="86"/>
      <c r="M662" s="86"/>
      <c r="N662" s="86"/>
      <c r="O662" s="86"/>
      <c r="P662" s="86"/>
      <c r="Q662" s="86"/>
      <c r="R662" s="86"/>
      <c r="S662" s="86"/>
      <c r="T662" s="86"/>
      <c r="U662" s="86"/>
      <c r="V662" s="86"/>
      <c r="W662" s="86">
        <v>177799</v>
      </c>
      <c r="X662" s="86"/>
      <c r="Y662" s="14"/>
      <c r="Z662" s="12"/>
      <c r="AB662" s="12"/>
      <c r="AC662" s="12"/>
    </row>
    <row r="663" spans="1:29" ht="12.75" customHeight="1">
      <c r="A663" s="30">
        <f t="shared" si="152"/>
        <v>491</v>
      </c>
      <c r="B663" s="238" t="s">
        <v>474</v>
      </c>
      <c r="C663" s="97">
        <f t="shared" si="150"/>
        <v>183326</v>
      </c>
      <c r="D663" s="86">
        <f t="shared" si="151"/>
        <v>0</v>
      </c>
      <c r="E663" s="86"/>
      <c r="F663" s="86"/>
      <c r="G663" s="86"/>
      <c r="H663" s="86"/>
      <c r="I663" s="86"/>
      <c r="J663" s="86"/>
      <c r="K663" s="86"/>
      <c r="L663" s="86"/>
      <c r="M663" s="86"/>
      <c r="N663" s="86"/>
      <c r="O663" s="86"/>
      <c r="P663" s="86"/>
      <c r="Q663" s="86"/>
      <c r="R663" s="86"/>
      <c r="S663" s="86"/>
      <c r="T663" s="86"/>
      <c r="U663" s="86"/>
      <c r="V663" s="86"/>
      <c r="W663" s="86">
        <v>183326</v>
      </c>
      <c r="X663" s="86"/>
      <c r="Y663" s="14"/>
      <c r="Z663" s="12"/>
      <c r="AB663" s="12"/>
      <c r="AC663" s="12"/>
    </row>
    <row r="664" spans="1:29" ht="12.75" customHeight="1">
      <c r="A664" s="30">
        <f t="shared" si="152"/>
        <v>492</v>
      </c>
      <c r="B664" s="238" t="s">
        <v>490</v>
      </c>
      <c r="C664" s="97">
        <f t="shared" si="150"/>
        <v>3738492</v>
      </c>
      <c r="D664" s="86">
        <f t="shared" si="151"/>
        <v>0</v>
      </c>
      <c r="E664" s="86"/>
      <c r="F664" s="86"/>
      <c r="G664" s="86"/>
      <c r="H664" s="86"/>
      <c r="I664" s="86"/>
      <c r="J664" s="86"/>
      <c r="K664" s="86"/>
      <c r="L664" s="86">
        <v>1025</v>
      </c>
      <c r="M664" s="86">
        <v>3738492</v>
      </c>
      <c r="N664" s="86"/>
      <c r="O664" s="86"/>
      <c r="P664" s="86"/>
      <c r="Q664" s="86"/>
      <c r="R664" s="86"/>
      <c r="S664" s="86"/>
      <c r="T664" s="86"/>
      <c r="U664" s="86"/>
      <c r="V664" s="86"/>
      <c r="W664" s="86"/>
      <c r="X664" s="86"/>
      <c r="Y664" s="14"/>
      <c r="Z664" s="12"/>
      <c r="AB664" s="12"/>
      <c r="AC664" s="12"/>
    </row>
    <row r="665" spans="1:29" ht="12.75" customHeight="1">
      <c r="A665" s="30">
        <f t="shared" si="152"/>
        <v>493</v>
      </c>
      <c r="B665" s="238" t="s">
        <v>494</v>
      </c>
      <c r="C665" s="97">
        <f t="shared" si="150"/>
        <v>119763</v>
      </c>
      <c r="D665" s="86">
        <f t="shared" si="151"/>
        <v>0</v>
      </c>
      <c r="E665" s="86"/>
      <c r="F665" s="86"/>
      <c r="G665" s="86"/>
      <c r="H665" s="86"/>
      <c r="I665" s="86"/>
      <c r="J665" s="86"/>
      <c r="K665" s="86"/>
      <c r="L665" s="86"/>
      <c r="M665" s="86"/>
      <c r="N665" s="86"/>
      <c r="O665" s="86"/>
      <c r="P665" s="86"/>
      <c r="Q665" s="86"/>
      <c r="R665" s="86"/>
      <c r="S665" s="86"/>
      <c r="T665" s="86"/>
      <c r="U665" s="86"/>
      <c r="V665" s="86"/>
      <c r="W665" s="86">
        <v>119763</v>
      </c>
      <c r="X665" s="86"/>
      <c r="Y665" s="14"/>
      <c r="Z665" s="12"/>
      <c r="AB665" s="12"/>
      <c r="AC665" s="12"/>
    </row>
    <row r="666" spans="1:29" s="253" customFormat="1" ht="12.75">
      <c r="A666" s="30">
        <f t="shared" si="152"/>
        <v>494</v>
      </c>
      <c r="B666" s="89" t="s">
        <v>495</v>
      </c>
      <c r="C666" s="97">
        <f>D666+K666+M666+O666+Q666+S666+U666+V666+W666</f>
        <v>1038622</v>
      </c>
      <c r="D666" s="86">
        <f t="shared" si="151"/>
        <v>922967</v>
      </c>
      <c r="E666" s="249">
        <v>922967</v>
      </c>
      <c r="F666" s="264"/>
      <c r="G666" s="264"/>
      <c r="H666" s="264"/>
      <c r="I666" s="264"/>
      <c r="J666" s="264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264"/>
      <c r="W666" s="86">
        <v>115655</v>
      </c>
      <c r="X666" s="250"/>
      <c r="Y666" s="14"/>
      <c r="Z666" s="252"/>
      <c r="AA666" s="252"/>
      <c r="AB666" s="12"/>
      <c r="AC666" s="12"/>
    </row>
    <row r="667" spans="1:29" s="253" customFormat="1" ht="12.75">
      <c r="A667" s="30">
        <f t="shared" si="152"/>
        <v>495</v>
      </c>
      <c r="B667" s="82" t="s">
        <v>475</v>
      </c>
      <c r="C667" s="97">
        <f>D667+K667+M667+O667+Q667+S667+U667+V667+W667</f>
        <v>1032217</v>
      </c>
      <c r="D667" s="86">
        <f t="shared" si="151"/>
        <v>1032217</v>
      </c>
      <c r="E667" s="249">
        <v>1032217</v>
      </c>
      <c r="F667" s="264"/>
      <c r="G667" s="264"/>
      <c r="H667" s="264"/>
      <c r="I667" s="264"/>
      <c r="J667" s="264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264"/>
      <c r="W667" s="31"/>
      <c r="X667" s="250"/>
      <c r="Y667" s="251"/>
      <c r="Z667" s="252"/>
      <c r="AA667" s="252"/>
      <c r="AB667" s="12"/>
      <c r="AC667" s="12"/>
    </row>
    <row r="668" spans="1:29" ht="12.75" customHeight="1">
      <c r="A668" s="30">
        <f t="shared" si="152"/>
        <v>496</v>
      </c>
      <c r="B668" s="238" t="s">
        <v>496</v>
      </c>
      <c r="C668" s="97">
        <f t="shared" si="150"/>
        <v>10881977</v>
      </c>
      <c r="D668" s="86">
        <f t="shared" si="151"/>
        <v>0</v>
      </c>
      <c r="E668" s="86"/>
      <c r="F668" s="86"/>
      <c r="G668" s="86"/>
      <c r="H668" s="86"/>
      <c r="I668" s="86"/>
      <c r="J668" s="86"/>
      <c r="K668" s="86"/>
      <c r="L668" s="86">
        <v>880</v>
      </c>
      <c r="M668" s="86">
        <v>4617820</v>
      </c>
      <c r="N668" s="86">
        <v>880</v>
      </c>
      <c r="O668" s="86">
        <v>2290959</v>
      </c>
      <c r="P668" s="86">
        <v>1134.2</v>
      </c>
      <c r="Q668" s="86">
        <v>3869652</v>
      </c>
      <c r="R668" s="86"/>
      <c r="S668" s="86"/>
      <c r="T668" s="86"/>
      <c r="U668" s="86"/>
      <c r="V668" s="86"/>
      <c r="W668" s="86">
        <v>103546</v>
      </c>
      <c r="X668" s="86"/>
      <c r="Y668" s="14"/>
      <c r="Z668" s="12"/>
      <c r="AB668" s="12"/>
      <c r="AC668" s="12"/>
    </row>
    <row r="669" spans="1:29" s="253" customFormat="1" ht="12.75">
      <c r="A669" s="30">
        <f t="shared" si="152"/>
        <v>497</v>
      </c>
      <c r="B669" s="89" t="s">
        <v>476</v>
      </c>
      <c r="C669" s="97">
        <f>D669+K669+M669+O669+Q669+S669+U669+V669+W669+X669</f>
        <v>738960</v>
      </c>
      <c r="D669" s="86">
        <f>E669+F669+G669+H669+I669</f>
        <v>630720</v>
      </c>
      <c r="E669" s="249">
        <v>630720</v>
      </c>
      <c r="F669" s="264"/>
      <c r="G669" s="264"/>
      <c r="H669" s="264"/>
      <c r="I669" s="264"/>
      <c r="J669" s="264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264"/>
      <c r="W669" s="86">
        <v>108240</v>
      </c>
      <c r="X669" s="86"/>
      <c r="Y669" s="14"/>
      <c r="Z669" s="252"/>
      <c r="AA669" s="252"/>
      <c r="AB669" s="12"/>
      <c r="AC669" s="12"/>
    </row>
    <row r="670" spans="1:29" ht="12.75" customHeight="1">
      <c r="A670" s="30">
        <f t="shared" si="152"/>
        <v>498</v>
      </c>
      <c r="B670" s="238" t="s">
        <v>477</v>
      </c>
      <c r="C670" s="97">
        <f>D670+K670+M670+O670+Q670+S670+U670+V670+W670+X670</f>
        <v>116969</v>
      </c>
      <c r="D670" s="86">
        <f>E670+F670+G670+H670+I670</f>
        <v>0</v>
      </c>
      <c r="E670" s="86"/>
      <c r="F670" s="86"/>
      <c r="G670" s="86"/>
      <c r="H670" s="86"/>
      <c r="I670" s="86"/>
      <c r="J670" s="86"/>
      <c r="K670" s="86"/>
      <c r="L670" s="86"/>
      <c r="M670" s="86"/>
      <c r="N670" s="86"/>
      <c r="O670" s="86"/>
      <c r="P670" s="86"/>
      <c r="Q670" s="86"/>
      <c r="R670" s="86"/>
      <c r="S670" s="86"/>
      <c r="T670" s="86"/>
      <c r="U670" s="86"/>
      <c r="V670" s="86"/>
      <c r="W670" s="86">
        <v>116969</v>
      </c>
      <c r="X670" s="86"/>
      <c r="Y670" s="14"/>
      <c r="Z670" s="12"/>
      <c r="AB670" s="12"/>
      <c r="AC670" s="12"/>
    </row>
    <row r="671" spans="1:29" ht="12.75" customHeight="1">
      <c r="A671" s="30">
        <f t="shared" si="152"/>
        <v>499</v>
      </c>
      <c r="B671" s="238" t="s">
        <v>478</v>
      </c>
      <c r="C671" s="97">
        <f t="shared" si="150"/>
        <v>199262</v>
      </c>
      <c r="D671" s="86">
        <f t="shared" si="151"/>
        <v>0</v>
      </c>
      <c r="E671" s="86"/>
      <c r="F671" s="86"/>
      <c r="G671" s="86"/>
      <c r="H671" s="86"/>
      <c r="I671" s="86"/>
      <c r="J671" s="86"/>
      <c r="K671" s="86"/>
      <c r="L671" s="86"/>
      <c r="M671" s="86"/>
      <c r="N671" s="86"/>
      <c r="O671" s="86"/>
      <c r="P671" s="86"/>
      <c r="Q671" s="86"/>
      <c r="R671" s="86"/>
      <c r="S671" s="86"/>
      <c r="T671" s="86"/>
      <c r="U671" s="86"/>
      <c r="V671" s="86"/>
      <c r="W671" s="86">
        <f>88138+111124</f>
        <v>199262</v>
      </c>
      <c r="X671" s="86"/>
      <c r="Y671" s="14"/>
      <c r="Z671" s="12"/>
      <c r="AB671" s="12"/>
      <c r="AC671" s="12"/>
    </row>
    <row r="672" spans="1:29" ht="12.75" customHeight="1">
      <c r="A672" s="30">
        <f t="shared" si="152"/>
        <v>500</v>
      </c>
      <c r="B672" s="238" t="s">
        <v>479</v>
      </c>
      <c r="C672" s="97">
        <f t="shared" si="150"/>
        <v>148215</v>
      </c>
      <c r="D672" s="86">
        <f t="shared" si="151"/>
        <v>0</v>
      </c>
      <c r="E672" s="86"/>
      <c r="F672" s="86"/>
      <c r="G672" s="86"/>
      <c r="H672" s="86"/>
      <c r="I672" s="86"/>
      <c r="J672" s="86"/>
      <c r="K672" s="86"/>
      <c r="L672" s="86"/>
      <c r="M672" s="86"/>
      <c r="N672" s="86"/>
      <c r="O672" s="86"/>
      <c r="P672" s="86"/>
      <c r="Q672" s="86"/>
      <c r="R672" s="86"/>
      <c r="S672" s="86"/>
      <c r="T672" s="86"/>
      <c r="U672" s="86"/>
      <c r="V672" s="86"/>
      <c r="W672" s="86">
        <v>148215</v>
      </c>
      <c r="X672" s="86"/>
      <c r="Y672" s="14"/>
      <c r="Z672" s="12"/>
      <c r="AB672" s="12"/>
      <c r="AC672" s="12"/>
    </row>
    <row r="673" spans="1:29" ht="12.75" customHeight="1">
      <c r="A673" s="30">
        <f t="shared" si="152"/>
        <v>501</v>
      </c>
      <c r="B673" s="238" t="s">
        <v>705</v>
      </c>
      <c r="C673" s="97">
        <f t="shared" si="150"/>
        <v>187769</v>
      </c>
      <c r="D673" s="86">
        <f t="shared" si="151"/>
        <v>0</v>
      </c>
      <c r="E673" s="86"/>
      <c r="F673" s="86"/>
      <c r="G673" s="86"/>
      <c r="H673" s="86"/>
      <c r="I673" s="86"/>
      <c r="J673" s="86"/>
      <c r="K673" s="86"/>
      <c r="L673" s="86"/>
      <c r="M673" s="86"/>
      <c r="N673" s="86"/>
      <c r="O673" s="86"/>
      <c r="P673" s="86"/>
      <c r="Q673" s="86"/>
      <c r="R673" s="86"/>
      <c r="S673" s="86"/>
      <c r="T673" s="86"/>
      <c r="U673" s="86"/>
      <c r="V673" s="86"/>
      <c r="W673" s="86">
        <f>88138+99631</f>
        <v>187769</v>
      </c>
      <c r="X673" s="86"/>
      <c r="Y673" s="14"/>
      <c r="Z673" s="12"/>
      <c r="AB673" s="12"/>
      <c r="AC673" s="12"/>
    </row>
    <row r="674" spans="1:29" ht="12.75" customHeight="1">
      <c r="A674" s="30">
        <f t="shared" si="152"/>
        <v>502</v>
      </c>
      <c r="B674" s="238" t="s">
        <v>480</v>
      </c>
      <c r="C674" s="97">
        <f t="shared" si="150"/>
        <v>218775</v>
      </c>
      <c r="D674" s="86">
        <f t="shared" si="151"/>
        <v>0</v>
      </c>
      <c r="E674" s="86"/>
      <c r="F674" s="86"/>
      <c r="G674" s="86"/>
      <c r="H674" s="86"/>
      <c r="I674" s="86"/>
      <c r="J674" s="86"/>
      <c r="K674" s="86"/>
      <c r="L674" s="86"/>
      <c r="M674" s="86"/>
      <c r="N674" s="86"/>
      <c r="O674" s="86"/>
      <c r="P674" s="86"/>
      <c r="Q674" s="86"/>
      <c r="R674" s="86"/>
      <c r="S674" s="86"/>
      <c r="T674" s="86"/>
      <c r="U674" s="86"/>
      <c r="V674" s="86"/>
      <c r="W674" s="86">
        <f>97569+121206</f>
        <v>218775</v>
      </c>
      <c r="X674" s="86"/>
      <c r="Y674" s="14"/>
      <c r="Z674" s="12"/>
      <c r="AB674" s="12"/>
      <c r="AC674" s="12"/>
    </row>
    <row r="675" spans="1:29" ht="12.75" customHeight="1">
      <c r="A675" s="30">
        <f t="shared" si="152"/>
        <v>503</v>
      </c>
      <c r="B675" s="238" t="s">
        <v>481</v>
      </c>
      <c r="C675" s="97">
        <f t="shared" si="150"/>
        <v>210680</v>
      </c>
      <c r="D675" s="86">
        <f t="shared" si="151"/>
        <v>0</v>
      </c>
      <c r="E675" s="86"/>
      <c r="F675" s="86"/>
      <c r="G675" s="86"/>
      <c r="H675" s="86"/>
      <c r="I675" s="86"/>
      <c r="J675" s="86"/>
      <c r="K675" s="86"/>
      <c r="L675" s="86"/>
      <c r="M675" s="86"/>
      <c r="N675" s="86"/>
      <c r="O675" s="86"/>
      <c r="P675" s="86"/>
      <c r="Q675" s="86"/>
      <c r="R675" s="86"/>
      <c r="S675" s="86"/>
      <c r="T675" s="86"/>
      <c r="U675" s="86"/>
      <c r="V675" s="86"/>
      <c r="W675" s="86">
        <f>93657+117023</f>
        <v>210680</v>
      </c>
      <c r="X675" s="86"/>
      <c r="Y675" s="14"/>
      <c r="Z675" s="12"/>
      <c r="AB675" s="12"/>
      <c r="AC675" s="12"/>
    </row>
    <row r="676" spans="1:29" ht="12.75" customHeight="1">
      <c r="A676" s="30">
        <f t="shared" si="152"/>
        <v>504</v>
      </c>
      <c r="B676" s="238" t="s">
        <v>497</v>
      </c>
      <c r="C676" s="97">
        <f t="shared" si="150"/>
        <v>112831</v>
      </c>
      <c r="D676" s="86">
        <f t="shared" si="151"/>
        <v>0</v>
      </c>
      <c r="E676" s="86"/>
      <c r="F676" s="86"/>
      <c r="G676" s="86"/>
      <c r="H676" s="86"/>
      <c r="I676" s="86"/>
      <c r="J676" s="86"/>
      <c r="K676" s="86"/>
      <c r="L676" s="86"/>
      <c r="M676" s="86"/>
      <c r="N676" s="86"/>
      <c r="O676" s="86"/>
      <c r="P676" s="86"/>
      <c r="Q676" s="86"/>
      <c r="R676" s="86"/>
      <c r="S676" s="86"/>
      <c r="T676" s="86"/>
      <c r="U676" s="86"/>
      <c r="V676" s="86"/>
      <c r="W676" s="86">
        <v>112831</v>
      </c>
      <c r="X676" s="86"/>
      <c r="Y676" s="14"/>
      <c r="Z676" s="12"/>
      <c r="AB676" s="12"/>
      <c r="AC676" s="12"/>
    </row>
    <row r="677" spans="1:29" ht="12.75" customHeight="1">
      <c r="A677" s="30">
        <f t="shared" si="152"/>
        <v>505</v>
      </c>
      <c r="B677" s="238" t="s">
        <v>485</v>
      </c>
      <c r="C677" s="97">
        <f t="shared" si="150"/>
        <v>4677853</v>
      </c>
      <c r="D677" s="86">
        <f t="shared" si="151"/>
        <v>0</v>
      </c>
      <c r="E677" s="86"/>
      <c r="F677" s="86"/>
      <c r="G677" s="86"/>
      <c r="H677" s="86"/>
      <c r="I677" s="86"/>
      <c r="J677" s="86"/>
      <c r="K677" s="86"/>
      <c r="L677" s="86">
        <v>1462</v>
      </c>
      <c r="M677" s="86">
        <v>4677853</v>
      </c>
      <c r="N677" s="86"/>
      <c r="O677" s="86"/>
      <c r="P677" s="86"/>
      <c r="Q677" s="86"/>
      <c r="R677" s="86"/>
      <c r="S677" s="86"/>
      <c r="T677" s="86"/>
      <c r="U677" s="86"/>
      <c r="V677" s="86"/>
      <c r="W677" s="86"/>
      <c r="X677" s="86"/>
      <c r="Y677" s="14"/>
      <c r="Z677" s="12"/>
      <c r="AB677" s="12"/>
      <c r="AC677" s="12"/>
    </row>
    <row r="678" spans="1:29" ht="12.75" customHeight="1">
      <c r="A678" s="30">
        <f t="shared" si="152"/>
        <v>506</v>
      </c>
      <c r="B678" s="238" t="s">
        <v>492</v>
      </c>
      <c r="C678" s="97">
        <f t="shared" si="150"/>
        <v>5225141</v>
      </c>
      <c r="D678" s="86">
        <f t="shared" si="151"/>
        <v>0</v>
      </c>
      <c r="E678" s="86"/>
      <c r="F678" s="86"/>
      <c r="G678" s="86"/>
      <c r="H678" s="86"/>
      <c r="I678" s="86"/>
      <c r="J678" s="86"/>
      <c r="K678" s="86"/>
      <c r="L678" s="86">
        <v>1480</v>
      </c>
      <c r="M678" s="86">
        <v>5225141</v>
      </c>
      <c r="N678" s="86"/>
      <c r="O678" s="86"/>
      <c r="P678" s="86"/>
      <c r="Q678" s="86"/>
      <c r="R678" s="86"/>
      <c r="S678" s="86"/>
      <c r="T678" s="86"/>
      <c r="U678" s="86"/>
      <c r="V678" s="86"/>
      <c r="W678" s="86"/>
      <c r="X678" s="86"/>
      <c r="Y678" s="14"/>
      <c r="Z678" s="12"/>
      <c r="AB678" s="12"/>
      <c r="AC678" s="12"/>
    </row>
    <row r="679" spans="1:29" ht="12.75" customHeight="1">
      <c r="A679" s="30">
        <f t="shared" si="152"/>
        <v>507</v>
      </c>
      <c r="B679" s="238" t="s">
        <v>498</v>
      </c>
      <c r="C679" s="97">
        <f t="shared" si="150"/>
        <v>8530086</v>
      </c>
      <c r="D679" s="86">
        <f t="shared" si="151"/>
        <v>0</v>
      </c>
      <c r="E679" s="86"/>
      <c r="F679" s="86"/>
      <c r="G679" s="86"/>
      <c r="H679" s="86"/>
      <c r="I679" s="86"/>
      <c r="J679" s="86"/>
      <c r="K679" s="86"/>
      <c r="L679" s="86">
        <v>1703</v>
      </c>
      <c r="M679" s="86">
        <v>2031758</v>
      </c>
      <c r="N679" s="86">
        <v>930</v>
      </c>
      <c r="O679" s="86">
        <v>2049013</v>
      </c>
      <c r="P679" s="86">
        <v>8519</v>
      </c>
      <c r="Q679" s="86">
        <v>4153364</v>
      </c>
      <c r="R679" s="86"/>
      <c r="S679" s="86"/>
      <c r="T679" s="86"/>
      <c r="U679" s="86"/>
      <c r="V679" s="86"/>
      <c r="W679" s="86">
        <v>295951</v>
      </c>
      <c r="X679" s="86"/>
      <c r="Y679" s="14"/>
      <c r="Z679" s="12"/>
      <c r="AB679" s="12"/>
      <c r="AC679" s="12"/>
    </row>
    <row r="680" spans="1:29" ht="12.75" customHeight="1">
      <c r="A680" s="30">
        <f t="shared" si="152"/>
        <v>508</v>
      </c>
      <c r="B680" s="238" t="s">
        <v>499</v>
      </c>
      <c r="C680" s="97">
        <f t="shared" si="150"/>
        <v>182805</v>
      </c>
      <c r="D680" s="86">
        <f t="shared" si="151"/>
        <v>0</v>
      </c>
      <c r="E680" s="86"/>
      <c r="F680" s="86"/>
      <c r="G680" s="86"/>
      <c r="H680" s="86"/>
      <c r="I680" s="86"/>
      <c r="J680" s="86"/>
      <c r="K680" s="86"/>
      <c r="L680" s="86"/>
      <c r="M680" s="86"/>
      <c r="N680" s="86"/>
      <c r="O680" s="86"/>
      <c r="P680" s="86"/>
      <c r="Q680" s="86"/>
      <c r="R680" s="86"/>
      <c r="S680" s="86"/>
      <c r="T680" s="86"/>
      <c r="U680" s="86"/>
      <c r="V680" s="86"/>
      <c r="W680" s="86">
        <f>80878+101927</f>
        <v>182805</v>
      </c>
      <c r="X680" s="86"/>
      <c r="Y680" s="14"/>
      <c r="Z680" s="12"/>
      <c r="AB680" s="12"/>
      <c r="AC680" s="12"/>
    </row>
    <row r="681" spans="1:29" ht="12.75" customHeight="1">
      <c r="A681" s="30">
        <f t="shared" si="152"/>
        <v>509</v>
      </c>
      <c r="B681" s="238" t="s">
        <v>482</v>
      </c>
      <c r="C681" s="97">
        <f t="shared" si="150"/>
        <v>211466</v>
      </c>
      <c r="D681" s="86">
        <f t="shared" si="151"/>
        <v>0</v>
      </c>
      <c r="E681" s="86"/>
      <c r="F681" s="86"/>
      <c r="G681" s="86"/>
      <c r="H681" s="86"/>
      <c r="I681" s="86"/>
      <c r="J681" s="86"/>
      <c r="K681" s="86"/>
      <c r="L681" s="86"/>
      <c r="M681" s="86"/>
      <c r="N681" s="86"/>
      <c r="O681" s="86"/>
      <c r="P681" s="86"/>
      <c r="Q681" s="86"/>
      <c r="R681" s="86"/>
      <c r="S681" s="86"/>
      <c r="T681" s="86"/>
      <c r="U681" s="86"/>
      <c r="V681" s="86"/>
      <c r="W681" s="86">
        <f>93946+117520</f>
        <v>211466</v>
      </c>
      <c r="X681" s="86"/>
      <c r="Y681" s="14"/>
      <c r="Z681" s="12"/>
      <c r="AB681" s="12"/>
      <c r="AC681" s="12"/>
    </row>
    <row r="682" spans="1:29" ht="12.75" customHeight="1">
      <c r="A682" s="30">
        <f t="shared" si="152"/>
        <v>510</v>
      </c>
      <c r="B682" s="238" t="s">
        <v>487</v>
      </c>
      <c r="C682" s="97">
        <f t="shared" si="150"/>
        <v>3177139</v>
      </c>
      <c r="D682" s="86">
        <f t="shared" si="151"/>
        <v>0</v>
      </c>
      <c r="E682" s="86"/>
      <c r="F682" s="86"/>
      <c r="G682" s="86"/>
      <c r="H682" s="86"/>
      <c r="I682" s="86"/>
      <c r="J682" s="86"/>
      <c r="K682" s="86"/>
      <c r="L682" s="86">
        <v>890</v>
      </c>
      <c r="M682" s="86">
        <v>3177139</v>
      </c>
      <c r="N682" s="86"/>
      <c r="O682" s="86"/>
      <c r="P682" s="86"/>
      <c r="Q682" s="86"/>
      <c r="R682" s="86"/>
      <c r="S682" s="86"/>
      <c r="T682" s="86"/>
      <c r="U682" s="86"/>
      <c r="V682" s="86"/>
      <c r="W682" s="86"/>
      <c r="X682" s="86"/>
      <c r="Y682" s="14"/>
      <c r="Z682" s="12"/>
      <c r="AB682" s="12"/>
      <c r="AC682" s="12"/>
    </row>
    <row r="683" spans="1:29" ht="12.75" customHeight="1">
      <c r="A683" s="30">
        <f t="shared" si="152"/>
        <v>511</v>
      </c>
      <c r="B683" s="238" t="s">
        <v>488</v>
      </c>
      <c r="C683" s="97">
        <f t="shared" si="150"/>
        <v>3110157</v>
      </c>
      <c r="D683" s="86">
        <f t="shared" si="151"/>
        <v>0</v>
      </c>
      <c r="E683" s="86"/>
      <c r="F683" s="86"/>
      <c r="G683" s="86"/>
      <c r="H683" s="86"/>
      <c r="I683" s="86"/>
      <c r="J683" s="86"/>
      <c r="K683" s="86"/>
      <c r="L683" s="86">
        <v>860</v>
      </c>
      <c r="M683" s="86">
        <v>3110157</v>
      </c>
      <c r="N683" s="86"/>
      <c r="O683" s="86"/>
      <c r="P683" s="86"/>
      <c r="Q683" s="86"/>
      <c r="R683" s="86"/>
      <c r="S683" s="86"/>
      <c r="T683" s="86"/>
      <c r="U683" s="86"/>
      <c r="V683" s="86"/>
      <c r="W683" s="86"/>
      <c r="X683" s="86"/>
      <c r="Y683" s="14"/>
      <c r="Z683" s="12"/>
      <c r="AB683" s="12"/>
      <c r="AC683" s="12"/>
    </row>
    <row r="684" spans="1:29" ht="12.75" customHeight="1">
      <c r="A684" s="30">
        <f t="shared" si="152"/>
        <v>512</v>
      </c>
      <c r="B684" s="238" t="s">
        <v>489</v>
      </c>
      <c r="C684" s="97">
        <f t="shared" si="150"/>
        <v>5195337</v>
      </c>
      <c r="D684" s="86">
        <f t="shared" si="151"/>
        <v>0</v>
      </c>
      <c r="E684" s="86"/>
      <c r="F684" s="86"/>
      <c r="G684" s="86"/>
      <c r="H684" s="86"/>
      <c r="I684" s="86"/>
      <c r="J684" s="86"/>
      <c r="K684" s="86"/>
      <c r="L684" s="86">
        <v>1470</v>
      </c>
      <c r="M684" s="86">
        <v>5195337</v>
      </c>
      <c r="N684" s="86"/>
      <c r="O684" s="86"/>
      <c r="P684" s="86"/>
      <c r="Q684" s="86"/>
      <c r="R684" s="86"/>
      <c r="S684" s="86"/>
      <c r="T684" s="86"/>
      <c r="U684" s="86"/>
      <c r="V684" s="86"/>
      <c r="W684" s="86"/>
      <c r="X684" s="86"/>
      <c r="Y684" s="14"/>
      <c r="Z684" s="12"/>
      <c r="AB684" s="12"/>
      <c r="AC684" s="12"/>
    </row>
    <row r="685" spans="1:29" ht="12.75" customHeight="1">
      <c r="A685" s="30">
        <f t="shared" si="152"/>
        <v>513</v>
      </c>
      <c r="B685" s="238" t="s">
        <v>491</v>
      </c>
      <c r="C685" s="97">
        <f t="shared" si="150"/>
        <v>3110157</v>
      </c>
      <c r="D685" s="86">
        <f t="shared" si="151"/>
        <v>0</v>
      </c>
      <c r="E685" s="86"/>
      <c r="F685" s="86"/>
      <c r="G685" s="86"/>
      <c r="H685" s="86"/>
      <c r="I685" s="86"/>
      <c r="J685" s="86"/>
      <c r="K685" s="86"/>
      <c r="L685" s="86">
        <v>860</v>
      </c>
      <c r="M685" s="86">
        <v>3110157</v>
      </c>
      <c r="N685" s="86"/>
      <c r="O685" s="86"/>
      <c r="P685" s="86"/>
      <c r="Q685" s="86"/>
      <c r="R685" s="86"/>
      <c r="S685" s="86"/>
      <c r="T685" s="86"/>
      <c r="U685" s="86"/>
      <c r="V685" s="86"/>
      <c r="W685" s="86"/>
      <c r="X685" s="86"/>
      <c r="Y685" s="14"/>
      <c r="Z685" s="12"/>
      <c r="AB685" s="12"/>
      <c r="AC685" s="12"/>
    </row>
    <row r="686" spans="1:29" ht="12.75" customHeight="1">
      <c r="A686" s="30">
        <f t="shared" si="152"/>
        <v>514</v>
      </c>
      <c r="B686" s="238" t="s">
        <v>500</v>
      </c>
      <c r="C686" s="97">
        <f t="shared" si="150"/>
        <v>175838</v>
      </c>
      <c r="D686" s="86">
        <f t="shared" si="151"/>
        <v>0</v>
      </c>
      <c r="E686" s="86"/>
      <c r="F686" s="86"/>
      <c r="G686" s="86"/>
      <c r="H686" s="86"/>
      <c r="I686" s="86"/>
      <c r="J686" s="86"/>
      <c r="K686" s="86"/>
      <c r="L686" s="86"/>
      <c r="M686" s="86"/>
      <c r="N686" s="86"/>
      <c r="O686" s="86"/>
      <c r="P686" s="86"/>
      <c r="Q686" s="86"/>
      <c r="R686" s="86"/>
      <c r="S686" s="86"/>
      <c r="T686" s="86"/>
      <c r="U686" s="86"/>
      <c r="V686" s="86"/>
      <c r="W686" s="86">
        <f>77473+98365</f>
        <v>175838</v>
      </c>
      <c r="X686" s="86"/>
      <c r="Y686" s="14"/>
      <c r="Z686" s="12"/>
      <c r="AB686" s="12"/>
      <c r="AC686" s="12"/>
    </row>
    <row r="687" spans="1:29" ht="12.75" customHeight="1">
      <c r="A687" s="30">
        <f t="shared" si="152"/>
        <v>515</v>
      </c>
      <c r="B687" s="238" t="s">
        <v>501</v>
      </c>
      <c r="C687" s="97">
        <f t="shared" si="150"/>
        <v>148983</v>
      </c>
      <c r="D687" s="86">
        <f t="shared" si="151"/>
        <v>0</v>
      </c>
      <c r="E687" s="86"/>
      <c r="F687" s="86"/>
      <c r="G687" s="86"/>
      <c r="H687" s="86"/>
      <c r="I687" s="86"/>
      <c r="J687" s="86"/>
      <c r="K687" s="86"/>
      <c r="L687" s="86"/>
      <c r="M687" s="86"/>
      <c r="N687" s="86"/>
      <c r="O687" s="86"/>
      <c r="P687" s="86"/>
      <c r="Q687" s="86"/>
      <c r="R687" s="86"/>
      <c r="S687" s="86"/>
      <c r="T687" s="86"/>
      <c r="U687" s="86"/>
      <c r="V687" s="86"/>
      <c r="W687" s="86">
        <v>148983</v>
      </c>
      <c r="X687" s="86"/>
      <c r="Y687" s="14"/>
      <c r="Z687" s="12"/>
      <c r="AB687" s="12"/>
      <c r="AC687" s="12"/>
    </row>
    <row r="688" spans="1:29" ht="12.75" customHeight="1">
      <c r="A688" s="30">
        <f t="shared" si="152"/>
        <v>516</v>
      </c>
      <c r="B688" s="238" t="s">
        <v>502</v>
      </c>
      <c r="C688" s="97">
        <f t="shared" si="150"/>
        <v>265654</v>
      </c>
      <c r="D688" s="86">
        <f t="shared" si="151"/>
        <v>0</v>
      </c>
      <c r="E688" s="86"/>
      <c r="F688" s="86"/>
      <c r="G688" s="86"/>
      <c r="H688" s="86"/>
      <c r="I688" s="86"/>
      <c r="J688" s="86"/>
      <c r="K688" s="86"/>
      <c r="L688" s="86"/>
      <c r="M688" s="86"/>
      <c r="N688" s="86"/>
      <c r="O688" s="86"/>
      <c r="P688" s="86"/>
      <c r="Q688" s="86"/>
      <c r="R688" s="86"/>
      <c r="S688" s="86"/>
      <c r="T688" s="86"/>
      <c r="U688" s="86"/>
      <c r="V688" s="86"/>
      <c r="W688" s="86">
        <f>116828+148826</f>
        <v>265654</v>
      </c>
      <c r="X688" s="86"/>
      <c r="Y688" s="14"/>
      <c r="Z688" s="12"/>
      <c r="AB688" s="12"/>
      <c r="AC688" s="12"/>
    </row>
    <row r="689" spans="1:29" ht="12.75" customHeight="1">
      <c r="A689" s="30">
        <f t="shared" si="152"/>
        <v>517</v>
      </c>
      <c r="B689" s="238" t="s">
        <v>503</v>
      </c>
      <c r="C689" s="97">
        <f t="shared" si="150"/>
        <v>211502</v>
      </c>
      <c r="D689" s="86">
        <f t="shared" si="151"/>
        <v>0</v>
      </c>
      <c r="E689" s="86"/>
      <c r="F689" s="86"/>
      <c r="G689" s="86"/>
      <c r="H689" s="86"/>
      <c r="I689" s="86"/>
      <c r="J689" s="86"/>
      <c r="K689" s="86"/>
      <c r="L689" s="86"/>
      <c r="M689" s="86"/>
      <c r="N689" s="86"/>
      <c r="O689" s="86"/>
      <c r="P689" s="86"/>
      <c r="Q689" s="86"/>
      <c r="R689" s="86"/>
      <c r="S689" s="86"/>
      <c r="T689" s="86"/>
      <c r="U689" s="86"/>
      <c r="V689" s="86"/>
      <c r="W689" s="86">
        <f>94054+117448</f>
        <v>211502</v>
      </c>
      <c r="X689" s="86"/>
      <c r="Y689" s="14"/>
      <c r="Z689" s="12"/>
      <c r="AB689" s="12"/>
      <c r="AC689" s="12"/>
    </row>
    <row r="690" spans="1:29" ht="12.75" customHeight="1">
      <c r="A690" s="30">
        <f t="shared" si="152"/>
        <v>518</v>
      </c>
      <c r="B690" s="238" t="s">
        <v>483</v>
      </c>
      <c r="C690" s="97">
        <f t="shared" si="150"/>
        <v>116633</v>
      </c>
      <c r="D690" s="86">
        <f t="shared" si="151"/>
        <v>0</v>
      </c>
      <c r="E690" s="86"/>
      <c r="F690" s="86"/>
      <c r="G690" s="86"/>
      <c r="H690" s="86"/>
      <c r="I690" s="86"/>
      <c r="J690" s="86"/>
      <c r="K690" s="86"/>
      <c r="L690" s="86"/>
      <c r="M690" s="86"/>
      <c r="N690" s="86"/>
      <c r="O690" s="86"/>
      <c r="P690" s="86"/>
      <c r="Q690" s="86"/>
      <c r="R690" s="86"/>
      <c r="S690" s="86"/>
      <c r="T690" s="86"/>
      <c r="U690" s="86"/>
      <c r="V690" s="86"/>
      <c r="W690" s="86">
        <v>116633</v>
      </c>
      <c r="X690" s="86"/>
      <c r="Y690" s="14"/>
      <c r="Z690" s="12"/>
      <c r="AB690" s="12"/>
      <c r="AC690" s="12"/>
    </row>
    <row r="691" spans="1:29" ht="12.75" customHeight="1">
      <c r="A691" s="30">
        <f t="shared" si="152"/>
        <v>519</v>
      </c>
      <c r="B691" s="238" t="s">
        <v>484</v>
      </c>
      <c r="C691" s="97">
        <f t="shared" si="150"/>
        <v>122144</v>
      </c>
      <c r="D691" s="86">
        <f t="shared" si="151"/>
        <v>0</v>
      </c>
      <c r="E691" s="86"/>
      <c r="F691" s="86"/>
      <c r="G691" s="86"/>
      <c r="H691" s="86"/>
      <c r="I691" s="86"/>
      <c r="J691" s="86"/>
      <c r="K691" s="86"/>
      <c r="L691" s="86"/>
      <c r="M691" s="86"/>
      <c r="N691" s="86"/>
      <c r="O691" s="86"/>
      <c r="P691" s="86"/>
      <c r="Q691" s="86"/>
      <c r="R691" s="86"/>
      <c r="S691" s="86"/>
      <c r="T691" s="86"/>
      <c r="U691" s="86"/>
      <c r="V691" s="86"/>
      <c r="W691" s="86">
        <v>122144</v>
      </c>
      <c r="X691" s="86"/>
      <c r="Y691" s="14"/>
      <c r="Z691" s="12"/>
      <c r="AB691" s="12"/>
      <c r="AC691" s="12"/>
    </row>
    <row r="692" spans="1:29" ht="17.25" customHeight="1">
      <c r="A692" s="30">
        <f t="shared" si="152"/>
        <v>520</v>
      </c>
      <c r="B692" s="238" t="s">
        <v>504</v>
      </c>
      <c r="C692" s="97">
        <f t="shared" si="150"/>
        <v>237026</v>
      </c>
      <c r="D692" s="86">
        <f t="shared" si="151"/>
        <v>0</v>
      </c>
      <c r="E692" s="86"/>
      <c r="F692" s="86"/>
      <c r="G692" s="86"/>
      <c r="H692" s="86"/>
      <c r="I692" s="86"/>
      <c r="J692" s="86"/>
      <c r="K692" s="86"/>
      <c r="L692" s="86"/>
      <c r="M692" s="86"/>
      <c r="N692" s="86"/>
      <c r="O692" s="86"/>
      <c r="P692" s="86"/>
      <c r="Q692" s="86"/>
      <c r="R692" s="86"/>
      <c r="S692" s="86"/>
      <c r="T692" s="86"/>
      <c r="U692" s="86"/>
      <c r="V692" s="86"/>
      <c r="W692" s="86">
        <f>111743+125283</f>
        <v>237026</v>
      </c>
      <c r="X692" s="86"/>
      <c r="Y692" s="14"/>
      <c r="Z692" s="12"/>
      <c r="AB692" s="12"/>
      <c r="AC692" s="12"/>
    </row>
    <row r="693" spans="1:29" ht="12.75" customHeight="1">
      <c r="A693" s="30">
        <f t="shared" si="152"/>
        <v>521</v>
      </c>
      <c r="B693" s="238" t="s">
        <v>505</v>
      </c>
      <c r="C693" s="97">
        <f t="shared" si="150"/>
        <v>10635269</v>
      </c>
      <c r="D693" s="86">
        <f t="shared" si="151"/>
        <v>0</v>
      </c>
      <c r="E693" s="86"/>
      <c r="F693" s="86"/>
      <c r="G693" s="86"/>
      <c r="H693" s="86"/>
      <c r="I693" s="86"/>
      <c r="J693" s="10">
        <v>4</v>
      </c>
      <c r="K693" s="86">
        <f>891625+9743644</f>
        <v>10635269</v>
      </c>
      <c r="L693" s="265"/>
      <c r="M693" s="86"/>
      <c r="N693" s="86"/>
      <c r="O693" s="86"/>
      <c r="P693" s="86"/>
      <c r="Q693" s="86"/>
      <c r="R693" s="86"/>
      <c r="S693" s="86"/>
      <c r="T693" s="86"/>
      <c r="U693" s="86"/>
      <c r="V693" s="86"/>
      <c r="W693" s="86"/>
      <c r="X693" s="86"/>
      <c r="Y693" s="14"/>
      <c r="Z693" s="12"/>
      <c r="AB693" s="12"/>
      <c r="AC693" s="12"/>
    </row>
    <row r="694" spans="1:29" ht="12.75" customHeight="1">
      <c r="A694" s="130" t="s">
        <v>597</v>
      </c>
      <c r="B694" s="130"/>
      <c r="C694" s="31">
        <f>SUM(C659:C693)</f>
        <v>65638472</v>
      </c>
      <c r="D694" s="31">
        <f aca="true" t="shared" si="153" ref="D694:X694">SUM(D659:D693)</f>
        <v>2823908</v>
      </c>
      <c r="E694" s="31">
        <f t="shared" si="153"/>
        <v>2585904</v>
      </c>
      <c r="F694" s="31">
        <f t="shared" si="153"/>
        <v>0</v>
      </c>
      <c r="G694" s="31">
        <f t="shared" si="153"/>
        <v>238004</v>
      </c>
      <c r="H694" s="31">
        <f t="shared" si="153"/>
        <v>0</v>
      </c>
      <c r="I694" s="31">
        <f t="shared" si="153"/>
        <v>0</v>
      </c>
      <c r="J694" s="30">
        <f t="shared" si="153"/>
        <v>4</v>
      </c>
      <c r="K694" s="31">
        <f t="shared" si="153"/>
        <v>10635269</v>
      </c>
      <c r="L694" s="31">
        <f t="shared" si="153"/>
        <v>11394</v>
      </c>
      <c r="M694" s="31">
        <f t="shared" si="153"/>
        <v>35732559</v>
      </c>
      <c r="N694" s="31">
        <f t="shared" si="153"/>
        <v>1810</v>
      </c>
      <c r="O694" s="31">
        <f t="shared" si="153"/>
        <v>4339972</v>
      </c>
      <c r="P694" s="31">
        <f t="shared" si="153"/>
        <v>9653.2</v>
      </c>
      <c r="Q694" s="31">
        <f t="shared" si="153"/>
        <v>8023016</v>
      </c>
      <c r="R694" s="31">
        <f t="shared" si="153"/>
        <v>0</v>
      </c>
      <c r="S694" s="31">
        <f t="shared" si="153"/>
        <v>0</v>
      </c>
      <c r="T694" s="31">
        <f t="shared" si="153"/>
        <v>0</v>
      </c>
      <c r="U694" s="31">
        <f t="shared" si="153"/>
        <v>0</v>
      </c>
      <c r="V694" s="31">
        <f t="shared" si="153"/>
        <v>0</v>
      </c>
      <c r="W694" s="31">
        <f t="shared" si="153"/>
        <v>4083748</v>
      </c>
      <c r="X694" s="31">
        <f t="shared" si="153"/>
        <v>0</v>
      </c>
      <c r="Y694" s="14"/>
      <c r="Z694" s="12"/>
      <c r="AA694" s="12"/>
      <c r="AB694" s="12"/>
      <c r="AC694" s="12"/>
    </row>
    <row r="695" spans="1:29" ht="12.75" customHeight="1">
      <c r="A695" s="123" t="s">
        <v>663</v>
      </c>
      <c r="B695" s="123"/>
      <c r="C695" s="97">
        <f>C694+C657+C654</f>
        <v>73627366</v>
      </c>
      <c r="D695" s="97">
        <f aca="true" t="shared" si="154" ref="D695:X695">D694+D657+D654</f>
        <v>3881463</v>
      </c>
      <c r="E695" s="97">
        <f t="shared" si="154"/>
        <v>3643459</v>
      </c>
      <c r="F695" s="97">
        <f t="shared" si="154"/>
        <v>0</v>
      </c>
      <c r="G695" s="97">
        <f t="shared" si="154"/>
        <v>238004</v>
      </c>
      <c r="H695" s="97">
        <f t="shared" si="154"/>
        <v>0</v>
      </c>
      <c r="I695" s="97">
        <f t="shared" si="154"/>
        <v>0</v>
      </c>
      <c r="J695" s="96">
        <f t="shared" si="154"/>
        <v>4</v>
      </c>
      <c r="K695" s="97">
        <f t="shared" si="154"/>
        <v>10635269</v>
      </c>
      <c r="L695" s="97">
        <f t="shared" si="154"/>
        <v>11394</v>
      </c>
      <c r="M695" s="97">
        <f t="shared" si="154"/>
        <v>35732559</v>
      </c>
      <c r="N695" s="97">
        <f t="shared" si="154"/>
        <v>1810</v>
      </c>
      <c r="O695" s="97">
        <f t="shared" si="154"/>
        <v>4339972</v>
      </c>
      <c r="P695" s="97">
        <f t="shared" si="154"/>
        <v>10866.2</v>
      </c>
      <c r="Q695" s="97">
        <f t="shared" si="154"/>
        <v>14784063</v>
      </c>
      <c r="R695" s="97">
        <f t="shared" si="154"/>
        <v>0</v>
      </c>
      <c r="S695" s="97">
        <f t="shared" si="154"/>
        <v>0</v>
      </c>
      <c r="T695" s="97">
        <f t="shared" si="154"/>
        <v>0</v>
      </c>
      <c r="U695" s="97">
        <f t="shared" si="154"/>
        <v>0</v>
      </c>
      <c r="V695" s="97">
        <f t="shared" si="154"/>
        <v>0</v>
      </c>
      <c r="W695" s="97">
        <f t="shared" si="154"/>
        <v>4254040</v>
      </c>
      <c r="X695" s="97">
        <f t="shared" si="154"/>
        <v>0</v>
      </c>
      <c r="Y695" s="14"/>
      <c r="Z695" s="12"/>
      <c r="AA695" s="12"/>
      <c r="AB695" s="12"/>
      <c r="AC695" s="12"/>
    </row>
    <row r="696" spans="1:29" ht="12.75" customHeight="1">
      <c r="A696" s="137" t="s">
        <v>664</v>
      </c>
      <c r="B696" s="137"/>
      <c r="C696" s="137"/>
      <c r="D696" s="137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4"/>
      <c r="Z696" s="12"/>
      <c r="AB696" s="12"/>
      <c r="AC696" s="12"/>
    </row>
    <row r="697" spans="1:29" ht="12.75" customHeight="1">
      <c r="A697" s="30">
        <f>A693+1</f>
        <v>522</v>
      </c>
      <c r="B697" s="13" t="s">
        <v>507</v>
      </c>
      <c r="C697" s="97">
        <f aca="true" t="shared" si="155" ref="C697:C716">D697+K697+M697+O697+Q697+S697+U697+V697+W697+X697</f>
        <v>635257</v>
      </c>
      <c r="D697" s="86">
        <f aca="true" t="shared" si="156" ref="D697:D716">E697+F697+G697+H697+I697</f>
        <v>0</v>
      </c>
      <c r="E697" s="97"/>
      <c r="F697" s="22"/>
      <c r="G697" s="31"/>
      <c r="H697" s="22"/>
      <c r="I697" s="22"/>
      <c r="J697" s="32"/>
      <c r="K697" s="22"/>
      <c r="L697" s="33"/>
      <c r="M697" s="97"/>
      <c r="N697" s="31"/>
      <c r="O697" s="31"/>
      <c r="P697" s="31"/>
      <c r="Q697" s="31"/>
      <c r="R697" s="31"/>
      <c r="S697" s="31"/>
      <c r="T697" s="31"/>
      <c r="U697" s="31"/>
      <c r="V697" s="31"/>
      <c r="W697" s="86">
        <v>635257</v>
      </c>
      <c r="X697" s="86"/>
      <c r="Y697" s="14"/>
      <c r="Z697" s="12"/>
      <c r="AB697" s="12"/>
      <c r="AC697" s="12"/>
    </row>
    <row r="698" spans="1:29" ht="12.75" customHeight="1">
      <c r="A698" s="30">
        <f>A697+1</f>
        <v>523</v>
      </c>
      <c r="B698" s="13" t="s">
        <v>508</v>
      </c>
      <c r="C698" s="97">
        <f t="shared" si="155"/>
        <v>3469264</v>
      </c>
      <c r="D698" s="86">
        <f t="shared" si="156"/>
        <v>0</v>
      </c>
      <c r="E698" s="22"/>
      <c r="F698" s="22"/>
      <c r="G698" s="31"/>
      <c r="H698" s="22"/>
      <c r="I698" s="22"/>
      <c r="J698" s="32">
        <v>1</v>
      </c>
      <c r="K698" s="22">
        <v>2612559</v>
      </c>
      <c r="L698" s="22"/>
      <c r="M698" s="22"/>
      <c r="N698" s="31"/>
      <c r="O698" s="31"/>
      <c r="P698" s="31"/>
      <c r="Q698" s="31"/>
      <c r="R698" s="31"/>
      <c r="S698" s="31"/>
      <c r="T698" s="31"/>
      <c r="U698" s="31"/>
      <c r="V698" s="31"/>
      <c r="W698" s="86">
        <f>633769+222936</f>
        <v>856705</v>
      </c>
      <c r="X698" s="86"/>
      <c r="Y698" s="14"/>
      <c r="Z698" s="12"/>
      <c r="AB698" s="12"/>
      <c r="AC698" s="12"/>
    </row>
    <row r="699" spans="1:29" ht="12.75" customHeight="1">
      <c r="A699" s="30">
        <f aca="true" t="shared" si="157" ref="A699:A728">A698+1</f>
        <v>524</v>
      </c>
      <c r="B699" s="13" t="s">
        <v>790</v>
      </c>
      <c r="C699" s="97">
        <f>D699+K699+M699+O699+Q699+S699+U699+V699+W699+X699</f>
        <v>2835482</v>
      </c>
      <c r="D699" s="86">
        <f>E699+F699+G699+H699+I699</f>
        <v>0</v>
      </c>
      <c r="E699" s="22"/>
      <c r="F699" s="22"/>
      <c r="G699" s="31"/>
      <c r="H699" s="22"/>
      <c r="I699" s="22"/>
      <c r="J699" s="32">
        <v>1</v>
      </c>
      <c r="K699" s="22">
        <v>2612546</v>
      </c>
      <c r="L699" s="22"/>
      <c r="M699" s="22"/>
      <c r="N699" s="31"/>
      <c r="O699" s="31"/>
      <c r="P699" s="31"/>
      <c r="Q699" s="31"/>
      <c r="R699" s="31"/>
      <c r="S699" s="31"/>
      <c r="T699" s="31"/>
      <c r="U699" s="31"/>
      <c r="V699" s="31"/>
      <c r="W699" s="86">
        <v>222936</v>
      </c>
      <c r="X699" s="86"/>
      <c r="Y699" s="14"/>
      <c r="Z699" s="12"/>
      <c r="AB699" s="12"/>
      <c r="AC699" s="12"/>
    </row>
    <row r="700" spans="1:29" ht="12.75" customHeight="1">
      <c r="A700" s="30">
        <f t="shared" si="157"/>
        <v>525</v>
      </c>
      <c r="B700" s="13" t="s">
        <v>792</v>
      </c>
      <c r="C700" s="97">
        <f>D700+K700+M700+O700+Q700+S700+U700+V700+W700+X700</f>
        <v>8307189</v>
      </c>
      <c r="D700" s="86">
        <f>E700+F700+G700+H700+I700</f>
        <v>0</v>
      </c>
      <c r="E700" s="22"/>
      <c r="F700" s="22"/>
      <c r="G700" s="31"/>
      <c r="H700" s="22"/>
      <c r="I700" s="22"/>
      <c r="J700" s="32">
        <v>3</v>
      </c>
      <c r="K700" s="22">
        <v>7638381</v>
      </c>
      <c r="L700" s="22"/>
      <c r="M700" s="22"/>
      <c r="N700" s="31"/>
      <c r="O700" s="31"/>
      <c r="P700" s="31"/>
      <c r="Q700" s="31"/>
      <c r="R700" s="31"/>
      <c r="S700" s="31"/>
      <c r="T700" s="31"/>
      <c r="U700" s="31"/>
      <c r="V700" s="31"/>
      <c r="W700" s="86">
        <f>222936*3</f>
        <v>668808</v>
      </c>
      <c r="X700" s="22"/>
      <c r="Y700" s="14"/>
      <c r="Z700" s="12"/>
      <c r="AB700" s="12"/>
      <c r="AC700" s="12"/>
    </row>
    <row r="701" spans="1:29" ht="12.75" customHeight="1">
      <c r="A701" s="30">
        <f t="shared" si="157"/>
        <v>526</v>
      </c>
      <c r="B701" s="13" t="s">
        <v>510</v>
      </c>
      <c r="C701" s="97">
        <f t="shared" si="155"/>
        <v>8307048</v>
      </c>
      <c r="D701" s="86">
        <f t="shared" si="156"/>
        <v>0</v>
      </c>
      <c r="E701" s="22"/>
      <c r="F701" s="22"/>
      <c r="G701" s="31"/>
      <c r="H701" s="22"/>
      <c r="I701" s="22"/>
      <c r="J701" s="32">
        <v>3</v>
      </c>
      <c r="K701" s="22">
        <v>7638240</v>
      </c>
      <c r="L701" s="22"/>
      <c r="M701" s="34"/>
      <c r="N701" s="31"/>
      <c r="O701" s="31"/>
      <c r="P701" s="31"/>
      <c r="Q701" s="31"/>
      <c r="R701" s="31"/>
      <c r="S701" s="31"/>
      <c r="T701" s="31"/>
      <c r="U701" s="31"/>
      <c r="V701" s="31"/>
      <c r="W701" s="86">
        <f>222936*3</f>
        <v>668808</v>
      </c>
      <c r="X701" s="22"/>
      <c r="Y701" s="14"/>
      <c r="Z701" s="12"/>
      <c r="AB701" s="12"/>
      <c r="AC701" s="12"/>
    </row>
    <row r="702" spans="1:29" ht="12.75" customHeight="1">
      <c r="A702" s="30">
        <f t="shared" si="157"/>
        <v>527</v>
      </c>
      <c r="B702" s="13" t="s">
        <v>791</v>
      </c>
      <c r="C702" s="97">
        <f>D702+K702+M702+O702+Q702+S702+U702+V702+W702+X702</f>
        <v>3179576</v>
      </c>
      <c r="D702" s="86">
        <f>E702+F702+G702+H702+I702</f>
        <v>0</v>
      </c>
      <c r="E702" s="22"/>
      <c r="F702" s="22"/>
      <c r="G702" s="31"/>
      <c r="H702" s="22"/>
      <c r="I702" s="22"/>
      <c r="J702" s="32">
        <v>1</v>
      </c>
      <c r="K702" s="22">
        <v>2956640</v>
      </c>
      <c r="L702" s="22"/>
      <c r="M702" s="34"/>
      <c r="N702" s="31"/>
      <c r="O702" s="31"/>
      <c r="P702" s="31"/>
      <c r="Q702" s="31"/>
      <c r="R702" s="31"/>
      <c r="S702" s="31"/>
      <c r="T702" s="31"/>
      <c r="U702" s="31"/>
      <c r="V702" s="31"/>
      <c r="W702" s="86">
        <v>222936</v>
      </c>
      <c r="X702" s="86"/>
      <c r="Y702" s="14"/>
      <c r="Z702" s="12"/>
      <c r="AB702" s="12"/>
      <c r="AC702" s="12"/>
    </row>
    <row r="703" spans="1:29" ht="12.75" customHeight="1">
      <c r="A703" s="30">
        <f t="shared" si="157"/>
        <v>528</v>
      </c>
      <c r="B703" s="13" t="s">
        <v>519</v>
      </c>
      <c r="C703" s="97">
        <f t="shared" si="155"/>
        <v>186050</v>
      </c>
      <c r="D703" s="86">
        <f t="shared" si="156"/>
        <v>0</v>
      </c>
      <c r="E703" s="97"/>
      <c r="F703" s="97"/>
      <c r="G703" s="31"/>
      <c r="H703" s="97"/>
      <c r="I703" s="97"/>
      <c r="J703" s="96"/>
      <c r="K703" s="34"/>
      <c r="L703" s="97"/>
      <c r="M703" s="97"/>
      <c r="N703" s="31"/>
      <c r="O703" s="31"/>
      <c r="P703" s="31"/>
      <c r="Q703" s="31"/>
      <c r="R703" s="31"/>
      <c r="S703" s="31"/>
      <c r="T703" s="31"/>
      <c r="U703" s="31"/>
      <c r="V703" s="31"/>
      <c r="W703" s="97">
        <v>186050</v>
      </c>
      <c r="X703" s="97"/>
      <c r="Y703" s="14"/>
      <c r="Z703" s="12"/>
      <c r="AB703" s="12"/>
      <c r="AC703" s="12"/>
    </row>
    <row r="704" spans="1:29" ht="12.75" customHeight="1">
      <c r="A704" s="30">
        <f t="shared" si="157"/>
        <v>529</v>
      </c>
      <c r="B704" s="13" t="s">
        <v>513</v>
      </c>
      <c r="C704" s="97">
        <f t="shared" si="155"/>
        <v>280705</v>
      </c>
      <c r="D704" s="86">
        <f t="shared" si="156"/>
        <v>0</v>
      </c>
      <c r="E704" s="22"/>
      <c r="F704" s="22"/>
      <c r="G704" s="31"/>
      <c r="H704" s="22"/>
      <c r="I704" s="22"/>
      <c r="J704" s="32"/>
      <c r="K704" s="34"/>
      <c r="L704" s="22"/>
      <c r="M704" s="22"/>
      <c r="N704" s="31"/>
      <c r="O704" s="31"/>
      <c r="P704" s="31"/>
      <c r="Q704" s="31"/>
      <c r="R704" s="31"/>
      <c r="S704" s="31"/>
      <c r="T704" s="31"/>
      <c r="U704" s="31"/>
      <c r="V704" s="31"/>
      <c r="W704" s="22">
        <f>280705</f>
        <v>280705</v>
      </c>
      <c r="X704" s="22"/>
      <c r="Y704" s="14"/>
      <c r="Z704" s="12"/>
      <c r="AB704" s="12"/>
      <c r="AC704" s="12"/>
    </row>
    <row r="705" spans="1:29" ht="12.75" customHeight="1">
      <c r="A705" s="30">
        <f t="shared" si="157"/>
        <v>530</v>
      </c>
      <c r="B705" s="13" t="s">
        <v>520</v>
      </c>
      <c r="C705" s="97">
        <f t="shared" si="155"/>
        <v>194051</v>
      </c>
      <c r="D705" s="86">
        <f t="shared" si="156"/>
        <v>0</v>
      </c>
      <c r="E705" s="22"/>
      <c r="F705" s="22"/>
      <c r="G705" s="31"/>
      <c r="H705" s="22"/>
      <c r="I705" s="22"/>
      <c r="J705" s="32"/>
      <c r="K705" s="22"/>
      <c r="L705" s="22"/>
      <c r="M705" s="22"/>
      <c r="N705" s="31"/>
      <c r="O705" s="31"/>
      <c r="P705" s="31"/>
      <c r="Q705" s="31"/>
      <c r="R705" s="31"/>
      <c r="S705" s="31"/>
      <c r="T705" s="31"/>
      <c r="U705" s="31"/>
      <c r="V705" s="31"/>
      <c r="W705" s="22">
        <v>194051</v>
      </c>
      <c r="X705" s="22"/>
      <c r="Y705" s="14"/>
      <c r="Z705" s="12"/>
      <c r="AB705" s="12"/>
      <c r="AC705" s="12"/>
    </row>
    <row r="706" spans="1:29" s="253" customFormat="1" ht="12.75">
      <c r="A706" s="30">
        <f t="shared" si="157"/>
        <v>531</v>
      </c>
      <c r="B706" s="82" t="s">
        <v>523</v>
      </c>
      <c r="C706" s="97">
        <f>D706+K706+M706+O706+Q706+S706+U706+V706+W706+X706</f>
        <v>1203404</v>
      </c>
      <c r="D706" s="86">
        <f>E706+F706+G706+H706+I706</f>
        <v>1203404</v>
      </c>
      <c r="E706" s="249">
        <v>1203404</v>
      </c>
      <c r="F706" s="31"/>
      <c r="G706" s="31"/>
      <c r="H706" s="31"/>
      <c r="I706" s="31"/>
      <c r="J706" s="30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255"/>
      <c r="Y706" s="251"/>
      <c r="Z706" s="252"/>
      <c r="AA706" s="252"/>
      <c r="AB706" s="12"/>
      <c r="AC706" s="12"/>
    </row>
    <row r="707" spans="1:29" ht="12.75">
      <c r="A707" s="30">
        <f t="shared" si="157"/>
        <v>532</v>
      </c>
      <c r="B707" s="13" t="s">
        <v>516</v>
      </c>
      <c r="C707" s="97">
        <f>D707+K707+M707+O707+Q707+S707+U707+V707+W707+X707</f>
        <v>95966</v>
      </c>
      <c r="D707" s="86">
        <f>E707+F707+G707+H707+I707</f>
        <v>0</v>
      </c>
      <c r="E707" s="97"/>
      <c r="F707" s="22"/>
      <c r="G707" s="31"/>
      <c r="H707" s="22"/>
      <c r="I707" s="22"/>
      <c r="J707" s="32"/>
      <c r="K707" s="22"/>
      <c r="L707" s="97"/>
      <c r="M707" s="97"/>
      <c r="N707" s="31"/>
      <c r="O707" s="31"/>
      <c r="P707" s="31"/>
      <c r="Q707" s="97"/>
      <c r="R707" s="31"/>
      <c r="S707" s="31"/>
      <c r="T707" s="31"/>
      <c r="U707" s="31"/>
      <c r="V707" s="31"/>
      <c r="W707" s="22">
        <v>95966</v>
      </c>
      <c r="X707" s="22"/>
      <c r="Y707" s="14"/>
      <c r="Z707" s="12"/>
      <c r="AA707" s="12"/>
      <c r="AB707" s="12"/>
      <c r="AC707" s="12"/>
    </row>
    <row r="708" spans="1:29" ht="12.75" customHeight="1">
      <c r="A708" s="30">
        <f t="shared" si="157"/>
        <v>533</v>
      </c>
      <c r="B708" s="13" t="s">
        <v>517</v>
      </c>
      <c r="C708" s="97">
        <f t="shared" si="155"/>
        <v>111671</v>
      </c>
      <c r="D708" s="86">
        <f t="shared" si="156"/>
        <v>0</v>
      </c>
      <c r="E708" s="22"/>
      <c r="F708" s="22"/>
      <c r="G708" s="31"/>
      <c r="H708" s="22"/>
      <c r="I708" s="22"/>
      <c r="J708" s="32"/>
      <c r="K708" s="22"/>
      <c r="L708" s="22"/>
      <c r="M708" s="22"/>
      <c r="N708" s="31"/>
      <c r="O708" s="31"/>
      <c r="P708" s="31"/>
      <c r="Q708" s="31"/>
      <c r="R708" s="31"/>
      <c r="S708" s="31"/>
      <c r="T708" s="31"/>
      <c r="U708" s="31"/>
      <c r="V708" s="31"/>
      <c r="W708" s="22">
        <v>111671</v>
      </c>
      <c r="X708" s="22"/>
      <c r="Y708" s="14"/>
      <c r="Z708" s="12"/>
      <c r="AB708" s="12"/>
      <c r="AC708" s="12"/>
    </row>
    <row r="709" spans="1:29" ht="12.75" customHeight="1">
      <c r="A709" s="30">
        <f t="shared" si="157"/>
        <v>534</v>
      </c>
      <c r="B709" s="13" t="s">
        <v>524</v>
      </c>
      <c r="C709" s="97">
        <f t="shared" si="155"/>
        <v>132646</v>
      </c>
      <c r="D709" s="86">
        <f t="shared" si="156"/>
        <v>0</v>
      </c>
      <c r="E709" s="22"/>
      <c r="F709" s="22"/>
      <c r="G709" s="31"/>
      <c r="H709" s="22"/>
      <c r="I709" s="22"/>
      <c r="J709" s="32"/>
      <c r="K709" s="22"/>
      <c r="L709" s="22"/>
      <c r="M709" s="22"/>
      <c r="N709" s="31"/>
      <c r="O709" s="31"/>
      <c r="P709" s="31"/>
      <c r="Q709" s="31"/>
      <c r="R709" s="31"/>
      <c r="S709" s="31"/>
      <c r="T709" s="31"/>
      <c r="U709" s="31"/>
      <c r="V709" s="31"/>
      <c r="W709" s="22">
        <v>132646</v>
      </c>
      <c r="X709" s="22"/>
      <c r="Y709" s="14"/>
      <c r="Z709" s="12"/>
      <c r="AB709" s="12"/>
      <c r="AC709" s="12"/>
    </row>
    <row r="710" spans="1:29" ht="12.75" customHeight="1">
      <c r="A710" s="30">
        <f t="shared" si="157"/>
        <v>535</v>
      </c>
      <c r="B710" s="13" t="s">
        <v>521</v>
      </c>
      <c r="C710" s="97">
        <f t="shared" si="155"/>
        <v>105377</v>
      </c>
      <c r="D710" s="86">
        <f t="shared" si="156"/>
        <v>0</v>
      </c>
      <c r="E710" s="22"/>
      <c r="F710" s="22"/>
      <c r="G710" s="31"/>
      <c r="H710" s="22"/>
      <c r="I710" s="22"/>
      <c r="J710" s="32"/>
      <c r="K710" s="22"/>
      <c r="L710" s="22"/>
      <c r="M710" s="22"/>
      <c r="N710" s="31"/>
      <c r="O710" s="31"/>
      <c r="P710" s="31"/>
      <c r="Q710" s="31"/>
      <c r="R710" s="31"/>
      <c r="S710" s="31"/>
      <c r="T710" s="31"/>
      <c r="U710" s="31"/>
      <c r="V710" s="31"/>
      <c r="W710" s="22">
        <v>105377</v>
      </c>
      <c r="X710" s="22"/>
      <c r="Y710" s="14"/>
      <c r="Z710" s="12"/>
      <c r="AB710" s="12"/>
      <c r="AC710" s="12"/>
    </row>
    <row r="711" spans="1:29" ht="12.75" customHeight="1">
      <c r="A711" s="30">
        <f t="shared" si="157"/>
        <v>536</v>
      </c>
      <c r="B711" s="13" t="s">
        <v>522</v>
      </c>
      <c r="C711" s="97">
        <f t="shared" si="155"/>
        <v>194194</v>
      </c>
      <c r="D711" s="86">
        <f t="shared" si="156"/>
        <v>0</v>
      </c>
      <c r="E711" s="22"/>
      <c r="F711" s="22"/>
      <c r="G711" s="31"/>
      <c r="H711" s="22"/>
      <c r="I711" s="22"/>
      <c r="J711" s="32"/>
      <c r="K711" s="22"/>
      <c r="L711" s="22"/>
      <c r="M711" s="22"/>
      <c r="N711" s="31"/>
      <c r="O711" s="31"/>
      <c r="P711" s="31"/>
      <c r="Q711" s="31"/>
      <c r="R711" s="31"/>
      <c r="S711" s="31"/>
      <c r="T711" s="31"/>
      <c r="U711" s="31"/>
      <c r="V711" s="31"/>
      <c r="W711" s="22">
        <v>194194</v>
      </c>
      <c r="X711" s="22"/>
      <c r="Y711" s="14"/>
      <c r="Z711" s="12"/>
      <c r="AB711" s="12"/>
      <c r="AC711" s="12"/>
    </row>
    <row r="712" spans="1:29" ht="12.75" customHeight="1">
      <c r="A712" s="30">
        <f t="shared" si="157"/>
        <v>537</v>
      </c>
      <c r="B712" s="13" t="s">
        <v>514</v>
      </c>
      <c r="C712" s="97">
        <f t="shared" si="155"/>
        <v>673730</v>
      </c>
      <c r="D712" s="86">
        <f t="shared" si="156"/>
        <v>0</v>
      </c>
      <c r="E712" s="22"/>
      <c r="F712" s="22"/>
      <c r="G712" s="31"/>
      <c r="H712" s="22"/>
      <c r="I712" s="22"/>
      <c r="J712" s="32"/>
      <c r="K712" s="22"/>
      <c r="L712" s="22"/>
      <c r="M712" s="22"/>
      <c r="N712" s="31"/>
      <c r="O712" s="31"/>
      <c r="P712" s="31"/>
      <c r="Q712" s="31"/>
      <c r="R712" s="31"/>
      <c r="S712" s="31"/>
      <c r="T712" s="31"/>
      <c r="U712" s="31"/>
      <c r="V712" s="31"/>
      <c r="W712" s="22">
        <v>673730</v>
      </c>
      <c r="X712" s="22"/>
      <c r="Y712" s="14"/>
      <c r="Z712" s="12"/>
      <c r="AB712" s="12"/>
      <c r="AC712" s="12"/>
    </row>
    <row r="713" spans="1:29" ht="12.75" customHeight="1">
      <c r="A713" s="30">
        <f t="shared" si="157"/>
        <v>538</v>
      </c>
      <c r="B713" s="13" t="s">
        <v>511</v>
      </c>
      <c r="C713" s="97">
        <f t="shared" si="155"/>
        <v>1852337</v>
      </c>
      <c r="D713" s="86">
        <f t="shared" si="156"/>
        <v>0</v>
      </c>
      <c r="E713" s="22"/>
      <c r="F713" s="22"/>
      <c r="G713" s="31"/>
      <c r="H713" s="22"/>
      <c r="I713" s="22"/>
      <c r="J713" s="32"/>
      <c r="K713" s="22"/>
      <c r="L713" s="22">
        <v>958</v>
      </c>
      <c r="M713" s="22">
        <v>1852337</v>
      </c>
      <c r="N713" s="31"/>
      <c r="O713" s="31"/>
      <c r="P713" s="31"/>
      <c r="Q713" s="31"/>
      <c r="R713" s="31"/>
      <c r="S713" s="31"/>
      <c r="T713" s="31"/>
      <c r="U713" s="31"/>
      <c r="V713" s="31"/>
      <c r="W713" s="22"/>
      <c r="X713" s="22"/>
      <c r="Y713" s="14"/>
      <c r="Z713" s="12"/>
      <c r="AB713" s="12"/>
      <c r="AC713" s="12"/>
    </row>
    <row r="714" spans="1:29" ht="12.75" customHeight="1">
      <c r="A714" s="30">
        <f t="shared" si="157"/>
        <v>539</v>
      </c>
      <c r="B714" s="13" t="s">
        <v>518</v>
      </c>
      <c r="C714" s="97">
        <f t="shared" si="155"/>
        <v>163348</v>
      </c>
      <c r="D714" s="86">
        <f t="shared" si="156"/>
        <v>0</v>
      </c>
      <c r="E714" s="22"/>
      <c r="F714" s="22"/>
      <c r="G714" s="31"/>
      <c r="H714" s="22"/>
      <c r="I714" s="22"/>
      <c r="J714" s="32"/>
      <c r="K714" s="22"/>
      <c r="L714" s="22"/>
      <c r="M714" s="22"/>
      <c r="N714" s="31"/>
      <c r="O714" s="31"/>
      <c r="P714" s="31"/>
      <c r="Q714" s="31"/>
      <c r="R714" s="31"/>
      <c r="S714" s="31"/>
      <c r="T714" s="31"/>
      <c r="U714" s="31"/>
      <c r="V714" s="31"/>
      <c r="W714" s="22">
        <v>163348</v>
      </c>
      <c r="X714" s="22"/>
      <c r="Y714" s="14"/>
      <c r="Z714" s="12"/>
      <c r="AB714" s="12"/>
      <c r="AC714" s="12"/>
    </row>
    <row r="715" spans="1:29" ht="12.75" customHeight="1">
      <c r="A715" s="30">
        <f t="shared" si="157"/>
        <v>540</v>
      </c>
      <c r="B715" s="13" t="s">
        <v>525</v>
      </c>
      <c r="C715" s="97">
        <f t="shared" si="155"/>
        <v>94987</v>
      </c>
      <c r="D715" s="86">
        <f t="shared" si="156"/>
        <v>0</v>
      </c>
      <c r="E715" s="22"/>
      <c r="F715" s="22"/>
      <c r="G715" s="31"/>
      <c r="H715" s="22"/>
      <c r="I715" s="22"/>
      <c r="J715" s="32"/>
      <c r="K715" s="22"/>
      <c r="L715" s="22"/>
      <c r="M715" s="22"/>
      <c r="N715" s="31"/>
      <c r="O715" s="31"/>
      <c r="P715" s="31"/>
      <c r="Q715" s="31"/>
      <c r="R715" s="31"/>
      <c r="S715" s="31"/>
      <c r="T715" s="31"/>
      <c r="U715" s="31"/>
      <c r="V715" s="31"/>
      <c r="W715" s="22">
        <v>94987</v>
      </c>
      <c r="X715" s="22"/>
      <c r="Y715" s="14"/>
      <c r="Z715" s="12"/>
      <c r="AB715" s="12"/>
      <c r="AC715" s="12"/>
    </row>
    <row r="716" spans="1:29" ht="12.75" customHeight="1">
      <c r="A716" s="30">
        <f t="shared" si="157"/>
        <v>541</v>
      </c>
      <c r="B716" s="13" t="s">
        <v>528</v>
      </c>
      <c r="C716" s="97">
        <f t="shared" si="155"/>
        <v>91161</v>
      </c>
      <c r="D716" s="86">
        <f t="shared" si="156"/>
        <v>0</v>
      </c>
      <c r="E716" s="22"/>
      <c r="F716" s="22"/>
      <c r="G716" s="31"/>
      <c r="H716" s="22"/>
      <c r="I716" s="22"/>
      <c r="J716" s="32"/>
      <c r="K716" s="22"/>
      <c r="L716" s="22"/>
      <c r="M716" s="22"/>
      <c r="N716" s="31"/>
      <c r="O716" s="31"/>
      <c r="P716" s="31"/>
      <c r="Q716" s="31"/>
      <c r="R716" s="31"/>
      <c r="S716" s="31"/>
      <c r="T716" s="31"/>
      <c r="U716" s="31"/>
      <c r="V716" s="31"/>
      <c r="W716" s="22">
        <v>91161</v>
      </c>
      <c r="X716" s="22"/>
      <c r="Y716" s="14"/>
      <c r="Z716" s="12"/>
      <c r="AB716" s="12"/>
      <c r="AC716" s="12"/>
    </row>
    <row r="717" spans="1:29" s="253" customFormat="1" ht="12.75">
      <c r="A717" s="30">
        <f t="shared" si="157"/>
        <v>542</v>
      </c>
      <c r="B717" s="82" t="s">
        <v>531</v>
      </c>
      <c r="C717" s="97">
        <f aca="true" t="shared" si="158" ref="C717:C728">D717+K717+M717+O717+Q717+S717+U717+V717+W717+X717</f>
        <v>1065170</v>
      </c>
      <c r="D717" s="86">
        <f aca="true" t="shared" si="159" ref="D717:D728">E717+F717+G717+H717+I717</f>
        <v>1065170</v>
      </c>
      <c r="E717" s="249">
        <v>1065170</v>
      </c>
      <c r="F717" s="31"/>
      <c r="G717" s="31"/>
      <c r="H717" s="31"/>
      <c r="I717" s="31"/>
      <c r="J717" s="30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255"/>
      <c r="Y717" s="251"/>
      <c r="Z717" s="252"/>
      <c r="AA717" s="252"/>
      <c r="AB717" s="12"/>
      <c r="AC717" s="12"/>
    </row>
    <row r="718" spans="1:29" ht="12.75" customHeight="1">
      <c r="A718" s="30">
        <f t="shared" si="157"/>
        <v>543</v>
      </c>
      <c r="B718" s="13" t="s">
        <v>526</v>
      </c>
      <c r="C718" s="97">
        <f t="shared" si="158"/>
        <v>91161</v>
      </c>
      <c r="D718" s="86">
        <f t="shared" si="159"/>
        <v>0</v>
      </c>
      <c r="E718" s="22"/>
      <c r="F718" s="22"/>
      <c r="G718" s="31"/>
      <c r="H718" s="22"/>
      <c r="I718" s="22"/>
      <c r="J718" s="32"/>
      <c r="K718" s="22"/>
      <c r="L718" s="22"/>
      <c r="M718" s="22"/>
      <c r="N718" s="31"/>
      <c r="O718" s="31"/>
      <c r="P718" s="31"/>
      <c r="Q718" s="31"/>
      <c r="R718" s="31"/>
      <c r="S718" s="31"/>
      <c r="T718" s="31"/>
      <c r="U718" s="31"/>
      <c r="V718" s="31"/>
      <c r="W718" s="22">
        <v>91161</v>
      </c>
      <c r="X718" s="22"/>
      <c r="Y718" s="14"/>
      <c r="Z718" s="12"/>
      <c r="AB718" s="12"/>
      <c r="AC718" s="12"/>
    </row>
    <row r="719" spans="1:29" ht="12.75" customHeight="1">
      <c r="A719" s="30">
        <f t="shared" si="157"/>
        <v>544</v>
      </c>
      <c r="B719" s="13" t="s">
        <v>527</v>
      </c>
      <c r="C719" s="97">
        <f t="shared" si="158"/>
        <v>91161</v>
      </c>
      <c r="D719" s="86">
        <f t="shared" si="159"/>
        <v>0</v>
      </c>
      <c r="E719" s="22"/>
      <c r="F719" s="22"/>
      <c r="G719" s="31"/>
      <c r="H719" s="22"/>
      <c r="I719" s="22"/>
      <c r="J719" s="32"/>
      <c r="K719" s="22"/>
      <c r="L719" s="22"/>
      <c r="M719" s="22"/>
      <c r="N719" s="31"/>
      <c r="O719" s="31"/>
      <c r="P719" s="31"/>
      <c r="Q719" s="31"/>
      <c r="R719" s="31"/>
      <c r="S719" s="31"/>
      <c r="T719" s="31"/>
      <c r="U719" s="31"/>
      <c r="V719" s="31"/>
      <c r="W719" s="22">
        <v>91161</v>
      </c>
      <c r="X719" s="22"/>
      <c r="Y719" s="14"/>
      <c r="Z719" s="12"/>
      <c r="AB719" s="12"/>
      <c r="AC719" s="12"/>
    </row>
    <row r="720" spans="1:29" s="253" customFormat="1" ht="12.75">
      <c r="A720" s="30">
        <f t="shared" si="157"/>
        <v>545</v>
      </c>
      <c r="B720" s="82" t="s">
        <v>530</v>
      </c>
      <c r="C720" s="97">
        <f t="shared" si="158"/>
        <v>1113326</v>
      </c>
      <c r="D720" s="86">
        <f t="shared" si="159"/>
        <v>941011</v>
      </c>
      <c r="E720" s="249">
        <v>941011</v>
      </c>
      <c r="F720" s="31"/>
      <c r="G720" s="31"/>
      <c r="H720" s="31"/>
      <c r="I720" s="31"/>
      <c r="J720" s="30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>
        <v>172315</v>
      </c>
      <c r="X720" s="255"/>
      <c r="Y720" s="251"/>
      <c r="Z720" s="252"/>
      <c r="AA720" s="252"/>
      <c r="AB720" s="12"/>
      <c r="AC720" s="12"/>
    </row>
    <row r="721" spans="1:29" ht="12.75" customHeight="1">
      <c r="A721" s="30">
        <f t="shared" si="157"/>
        <v>546</v>
      </c>
      <c r="B721" s="13" t="s">
        <v>529</v>
      </c>
      <c r="C721" s="97">
        <f t="shared" si="158"/>
        <v>91161</v>
      </c>
      <c r="D721" s="86">
        <f t="shared" si="159"/>
        <v>0</v>
      </c>
      <c r="E721" s="22"/>
      <c r="F721" s="22"/>
      <c r="G721" s="31"/>
      <c r="H721" s="22"/>
      <c r="I721" s="22"/>
      <c r="J721" s="32"/>
      <c r="K721" s="22"/>
      <c r="L721" s="22"/>
      <c r="M721" s="22"/>
      <c r="N721" s="31"/>
      <c r="O721" s="31"/>
      <c r="P721" s="31"/>
      <c r="Q721" s="31"/>
      <c r="R721" s="31"/>
      <c r="S721" s="31"/>
      <c r="T721" s="31"/>
      <c r="U721" s="31"/>
      <c r="V721" s="31"/>
      <c r="W721" s="22">
        <v>91161</v>
      </c>
      <c r="X721" s="22"/>
      <c r="Y721" s="14"/>
      <c r="Z721" s="12"/>
      <c r="AB721" s="12"/>
      <c r="AC721" s="12"/>
    </row>
    <row r="722" spans="1:29" ht="12.75" customHeight="1">
      <c r="A722" s="30">
        <f t="shared" si="157"/>
        <v>547</v>
      </c>
      <c r="B722" s="13" t="s">
        <v>794</v>
      </c>
      <c r="C722" s="97">
        <f t="shared" si="158"/>
        <v>16513701</v>
      </c>
      <c r="D722" s="86">
        <f t="shared" si="159"/>
        <v>0</v>
      </c>
      <c r="E722" s="22"/>
      <c r="F722" s="22"/>
      <c r="G722" s="31"/>
      <c r="H722" s="22"/>
      <c r="I722" s="22"/>
      <c r="J722" s="32">
        <v>6</v>
      </c>
      <c r="K722" s="22">
        <v>15176085</v>
      </c>
      <c r="L722" s="22"/>
      <c r="M722" s="22"/>
      <c r="N722" s="31"/>
      <c r="O722" s="31"/>
      <c r="P722" s="31"/>
      <c r="Q722" s="31"/>
      <c r="R722" s="31"/>
      <c r="S722" s="31"/>
      <c r="T722" s="31"/>
      <c r="U722" s="31"/>
      <c r="V722" s="31"/>
      <c r="W722" s="86">
        <f>222936*6</f>
        <v>1337616</v>
      </c>
      <c r="X722" s="22"/>
      <c r="Y722" s="14"/>
      <c r="Z722" s="12"/>
      <c r="AB722" s="12"/>
      <c r="AC722" s="12"/>
    </row>
    <row r="723" spans="1:29" s="253" customFormat="1" ht="12.75">
      <c r="A723" s="30">
        <f t="shared" si="157"/>
        <v>548</v>
      </c>
      <c r="B723" s="82" t="s">
        <v>795</v>
      </c>
      <c r="C723" s="97">
        <f t="shared" si="158"/>
        <v>2835460</v>
      </c>
      <c r="D723" s="86">
        <f t="shared" si="159"/>
        <v>0</v>
      </c>
      <c r="E723" s="31"/>
      <c r="F723" s="31"/>
      <c r="G723" s="31"/>
      <c r="H723" s="31"/>
      <c r="I723" s="31"/>
      <c r="J723" s="30">
        <v>1</v>
      </c>
      <c r="K723" s="31">
        <v>2612524</v>
      </c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86">
        <f>222936</f>
        <v>222936</v>
      </c>
      <c r="X723" s="22"/>
      <c r="Y723" s="14"/>
      <c r="Z723" s="252"/>
      <c r="AA723" s="252"/>
      <c r="AB723" s="12"/>
      <c r="AC723" s="12"/>
    </row>
    <row r="724" spans="1:29" s="253" customFormat="1" ht="12.75">
      <c r="A724" s="30">
        <f t="shared" si="157"/>
        <v>549</v>
      </c>
      <c r="B724" s="82" t="s">
        <v>796</v>
      </c>
      <c r="C724" s="97">
        <f t="shared" si="158"/>
        <v>2835504</v>
      </c>
      <c r="D724" s="86">
        <f t="shared" si="159"/>
        <v>0</v>
      </c>
      <c r="E724" s="31"/>
      <c r="F724" s="31"/>
      <c r="G724" s="31"/>
      <c r="H724" s="31"/>
      <c r="I724" s="31"/>
      <c r="J724" s="30">
        <v>1</v>
      </c>
      <c r="K724" s="31">
        <v>2612568</v>
      </c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86">
        <f>222936</f>
        <v>222936</v>
      </c>
      <c r="X724" s="22"/>
      <c r="Y724" s="14"/>
      <c r="Z724" s="252"/>
      <c r="AA724" s="252"/>
      <c r="AB724" s="12"/>
      <c r="AC724" s="12"/>
    </row>
    <row r="725" spans="1:29" ht="12.75" customHeight="1">
      <c r="A725" s="30">
        <f t="shared" si="157"/>
        <v>550</v>
      </c>
      <c r="B725" s="13" t="s">
        <v>512</v>
      </c>
      <c r="C725" s="97">
        <f t="shared" si="158"/>
        <v>2738439</v>
      </c>
      <c r="D725" s="86">
        <f t="shared" si="159"/>
        <v>0</v>
      </c>
      <c r="E725" s="22"/>
      <c r="F725" s="22"/>
      <c r="G725" s="31"/>
      <c r="H725" s="22"/>
      <c r="I725" s="22"/>
      <c r="J725" s="32"/>
      <c r="K725" s="22"/>
      <c r="L725" s="22">
        <v>1034</v>
      </c>
      <c r="M725" s="22">
        <v>2738439</v>
      </c>
      <c r="N725" s="31"/>
      <c r="O725" s="31"/>
      <c r="P725" s="31"/>
      <c r="Q725" s="31"/>
      <c r="R725" s="31"/>
      <c r="S725" s="31"/>
      <c r="T725" s="31"/>
      <c r="U725" s="31"/>
      <c r="V725" s="31"/>
      <c r="W725" s="22"/>
      <c r="X725" s="22"/>
      <c r="Y725" s="14"/>
      <c r="Z725" s="12"/>
      <c r="AB725" s="12"/>
      <c r="AC725" s="12"/>
    </row>
    <row r="726" spans="1:29" ht="12.75" customHeight="1">
      <c r="A726" s="30">
        <f t="shared" si="157"/>
        <v>551</v>
      </c>
      <c r="B726" s="13" t="s">
        <v>515</v>
      </c>
      <c r="C726" s="97">
        <f t="shared" si="158"/>
        <v>755199</v>
      </c>
      <c r="D726" s="86">
        <f t="shared" si="159"/>
        <v>0</v>
      </c>
      <c r="E726" s="22"/>
      <c r="F726" s="22"/>
      <c r="G726" s="31"/>
      <c r="H726" s="22"/>
      <c r="I726" s="22"/>
      <c r="J726" s="32"/>
      <c r="K726" s="22"/>
      <c r="L726" s="22"/>
      <c r="M726" s="22"/>
      <c r="N726" s="31"/>
      <c r="O726" s="31"/>
      <c r="P726" s="31"/>
      <c r="Q726" s="31"/>
      <c r="R726" s="31"/>
      <c r="S726" s="31"/>
      <c r="T726" s="31"/>
      <c r="U726" s="31"/>
      <c r="V726" s="31"/>
      <c r="W726" s="22">
        <v>755199</v>
      </c>
      <c r="X726" s="22"/>
      <c r="Y726" s="14"/>
      <c r="Z726" s="12"/>
      <c r="AB726" s="12"/>
      <c r="AC726" s="12"/>
    </row>
    <row r="727" spans="1:29" ht="12" customHeight="1">
      <c r="A727" s="30">
        <f t="shared" si="157"/>
        <v>552</v>
      </c>
      <c r="B727" s="13" t="s">
        <v>509</v>
      </c>
      <c r="C727" s="97">
        <f t="shared" si="158"/>
        <v>797274</v>
      </c>
      <c r="D727" s="86">
        <f t="shared" si="159"/>
        <v>0</v>
      </c>
      <c r="E727" s="97"/>
      <c r="F727" s="97"/>
      <c r="G727" s="31"/>
      <c r="H727" s="97"/>
      <c r="I727" s="97"/>
      <c r="J727" s="96"/>
      <c r="K727" s="97"/>
      <c r="L727" s="97"/>
      <c r="M727" s="97"/>
      <c r="N727" s="31"/>
      <c r="O727" s="31"/>
      <c r="P727" s="31"/>
      <c r="Q727" s="31"/>
      <c r="R727" s="31"/>
      <c r="S727" s="31"/>
      <c r="T727" s="31"/>
      <c r="U727" s="31"/>
      <c r="V727" s="31"/>
      <c r="W727" s="97">
        <v>797274</v>
      </c>
      <c r="X727" s="97"/>
      <c r="Y727" s="14"/>
      <c r="Z727" s="12"/>
      <c r="AB727" s="12"/>
      <c r="AC727" s="12"/>
    </row>
    <row r="728" spans="1:29" ht="12" customHeight="1">
      <c r="A728" s="30">
        <f t="shared" si="157"/>
        <v>553</v>
      </c>
      <c r="B728" s="13" t="s">
        <v>793</v>
      </c>
      <c r="C728" s="97">
        <f t="shared" si="158"/>
        <v>2835494</v>
      </c>
      <c r="D728" s="86">
        <f t="shared" si="159"/>
        <v>0</v>
      </c>
      <c r="E728" s="97"/>
      <c r="F728" s="97"/>
      <c r="G728" s="31"/>
      <c r="H728" s="97"/>
      <c r="I728" s="97"/>
      <c r="J728" s="96">
        <v>1</v>
      </c>
      <c r="K728" s="97">
        <v>2612558</v>
      </c>
      <c r="L728" s="97"/>
      <c r="M728" s="97"/>
      <c r="N728" s="31"/>
      <c r="O728" s="31"/>
      <c r="P728" s="31"/>
      <c r="Q728" s="31"/>
      <c r="R728" s="31"/>
      <c r="S728" s="31"/>
      <c r="T728" s="31"/>
      <c r="U728" s="31"/>
      <c r="V728" s="31"/>
      <c r="W728" s="86">
        <v>222936</v>
      </c>
      <c r="X728" s="86"/>
      <c r="Y728" s="14"/>
      <c r="Z728" s="12"/>
      <c r="AB728" s="12"/>
      <c r="AC728" s="12"/>
    </row>
    <row r="729" spans="1:29" ht="12.75" customHeight="1">
      <c r="A729" s="136" t="s">
        <v>597</v>
      </c>
      <c r="B729" s="136"/>
      <c r="C729" s="85">
        <f>SUM(C697:C728)</f>
        <v>63876493</v>
      </c>
      <c r="D729" s="85">
        <f aca="true" t="shared" si="160" ref="D729:X729">SUM(D697:D728)</f>
        <v>3209585</v>
      </c>
      <c r="E729" s="85">
        <f t="shared" si="160"/>
        <v>3209585</v>
      </c>
      <c r="F729" s="85">
        <f t="shared" si="160"/>
        <v>0</v>
      </c>
      <c r="G729" s="85">
        <f t="shared" si="160"/>
        <v>0</v>
      </c>
      <c r="H729" s="85">
        <f t="shared" si="160"/>
        <v>0</v>
      </c>
      <c r="I729" s="85">
        <f t="shared" si="160"/>
        <v>0</v>
      </c>
      <c r="J729" s="85">
        <f t="shared" si="160"/>
        <v>18</v>
      </c>
      <c r="K729" s="85">
        <f t="shared" si="160"/>
        <v>46472101</v>
      </c>
      <c r="L729" s="85">
        <f t="shared" si="160"/>
        <v>1992</v>
      </c>
      <c r="M729" s="85">
        <f t="shared" si="160"/>
        <v>4590776</v>
      </c>
      <c r="N729" s="85">
        <f t="shared" si="160"/>
        <v>0</v>
      </c>
      <c r="O729" s="85">
        <f t="shared" si="160"/>
        <v>0</v>
      </c>
      <c r="P729" s="85">
        <f t="shared" si="160"/>
        <v>0</v>
      </c>
      <c r="Q729" s="85">
        <f t="shared" si="160"/>
        <v>0</v>
      </c>
      <c r="R729" s="85">
        <f t="shared" si="160"/>
        <v>0</v>
      </c>
      <c r="S729" s="85">
        <f t="shared" si="160"/>
        <v>0</v>
      </c>
      <c r="T729" s="85">
        <f t="shared" si="160"/>
        <v>0</v>
      </c>
      <c r="U729" s="85">
        <f t="shared" si="160"/>
        <v>0</v>
      </c>
      <c r="V729" s="85">
        <f t="shared" si="160"/>
        <v>0</v>
      </c>
      <c r="W729" s="85">
        <f t="shared" si="160"/>
        <v>9604031</v>
      </c>
      <c r="X729" s="85">
        <f t="shared" si="160"/>
        <v>0</v>
      </c>
      <c r="Y729" s="14"/>
      <c r="Z729" s="12"/>
      <c r="AA729" s="12"/>
      <c r="AB729" s="12"/>
      <c r="AC729" s="12"/>
    </row>
    <row r="730" spans="1:29" ht="12.75" customHeight="1">
      <c r="A730" s="133" t="s">
        <v>665</v>
      </c>
      <c r="B730" s="133"/>
      <c r="C730" s="133"/>
      <c r="D730" s="133"/>
      <c r="E730" s="133"/>
      <c r="F730" s="133"/>
      <c r="G730" s="133"/>
      <c r="H730" s="133"/>
      <c r="I730" s="133"/>
      <c r="J730" s="133"/>
      <c r="K730" s="133"/>
      <c r="L730" s="133"/>
      <c r="M730" s="133"/>
      <c r="N730" s="133"/>
      <c r="O730" s="133"/>
      <c r="P730" s="133"/>
      <c r="Q730" s="133"/>
      <c r="R730" s="133"/>
      <c r="S730" s="133"/>
      <c r="T730" s="133"/>
      <c r="U730" s="133"/>
      <c r="V730" s="133"/>
      <c r="W730" s="133"/>
      <c r="X730" s="133"/>
      <c r="Y730" s="14"/>
      <c r="Z730" s="12"/>
      <c r="AA730" s="11"/>
      <c r="AB730" s="12"/>
      <c r="AC730" s="12"/>
    </row>
    <row r="731" spans="1:29" ht="12.75" customHeight="1">
      <c r="A731" s="123" t="s">
        <v>666</v>
      </c>
      <c r="B731" s="123"/>
      <c r="C731" s="123"/>
      <c r="D731" s="127"/>
      <c r="E731" s="127"/>
      <c r="F731" s="127"/>
      <c r="G731" s="127"/>
      <c r="H731" s="127"/>
      <c r="I731" s="127"/>
      <c r="J731" s="127"/>
      <c r="K731" s="127"/>
      <c r="L731" s="127"/>
      <c r="M731" s="127"/>
      <c r="N731" s="127"/>
      <c r="O731" s="127"/>
      <c r="P731" s="127"/>
      <c r="Q731" s="127"/>
      <c r="R731" s="127"/>
      <c r="S731" s="127"/>
      <c r="T731" s="127"/>
      <c r="U731" s="127"/>
      <c r="V731" s="127"/>
      <c r="W731" s="127"/>
      <c r="X731" s="127"/>
      <c r="Y731" s="14"/>
      <c r="Z731" s="12"/>
      <c r="AA731" s="11"/>
      <c r="AB731" s="12"/>
      <c r="AC731" s="12"/>
    </row>
    <row r="732" spans="1:29" s="253" customFormat="1" ht="12.75">
      <c r="A732" s="96">
        <f>A728+1</f>
        <v>554</v>
      </c>
      <c r="B732" s="82" t="s">
        <v>765</v>
      </c>
      <c r="C732" s="97">
        <f>D732+K732+M732+O732+Q732+S732+U732+V732+W732+X732</f>
        <v>2742926</v>
      </c>
      <c r="D732" s="86">
        <f>E732+F732+G732+H732+I732</f>
        <v>2742926</v>
      </c>
      <c r="E732" s="249">
        <v>2742926</v>
      </c>
      <c r="F732" s="86"/>
      <c r="G732" s="86"/>
      <c r="H732" s="86"/>
      <c r="I732" s="86"/>
      <c r="J732" s="97"/>
      <c r="K732" s="97"/>
      <c r="L732" s="86"/>
      <c r="M732" s="86"/>
      <c r="N732" s="86"/>
      <c r="O732" s="86"/>
      <c r="P732" s="86"/>
      <c r="Q732" s="86"/>
      <c r="R732" s="97"/>
      <c r="S732" s="97"/>
      <c r="T732" s="97"/>
      <c r="U732" s="97"/>
      <c r="V732" s="97"/>
      <c r="W732" s="86"/>
      <c r="X732" s="255"/>
      <c r="Y732" s="251"/>
      <c r="Z732" s="252"/>
      <c r="AA732" s="252"/>
      <c r="AB732" s="12"/>
      <c r="AC732" s="12"/>
    </row>
    <row r="733" spans="1:29" s="253" customFormat="1" ht="12.75">
      <c r="A733" s="96">
        <f>A732+1</f>
        <v>555</v>
      </c>
      <c r="B733" s="82" t="s">
        <v>766</v>
      </c>
      <c r="C733" s="97">
        <f>D733+K733+M733+O733+Q733+S733+U733+V733+W733+X733</f>
        <v>2709435</v>
      </c>
      <c r="D733" s="86">
        <f>E733+F733+G733+H733+I733</f>
        <v>2709435</v>
      </c>
      <c r="E733" s="249">
        <v>2709435</v>
      </c>
      <c r="F733" s="86"/>
      <c r="G733" s="86"/>
      <c r="H733" s="86"/>
      <c r="I733" s="86"/>
      <c r="J733" s="97"/>
      <c r="K733" s="97"/>
      <c r="L733" s="86"/>
      <c r="M733" s="86"/>
      <c r="N733" s="86"/>
      <c r="O733" s="86"/>
      <c r="P733" s="86"/>
      <c r="Q733" s="86"/>
      <c r="R733" s="97"/>
      <c r="S733" s="97"/>
      <c r="T733" s="97"/>
      <c r="U733" s="97"/>
      <c r="V733" s="97"/>
      <c r="W733" s="86"/>
      <c r="X733" s="255"/>
      <c r="Y733" s="251"/>
      <c r="Z733" s="252"/>
      <c r="AA733" s="252"/>
      <c r="AB733" s="12"/>
      <c r="AC733" s="12"/>
    </row>
    <row r="734" spans="1:29" ht="12.75" customHeight="1">
      <c r="A734" s="96">
        <f>A733+1</f>
        <v>556</v>
      </c>
      <c r="B734" s="13" t="s">
        <v>533</v>
      </c>
      <c r="C734" s="97">
        <f>D734+K734+M734+O734+Q734+S734+U734+V734+W734+X734</f>
        <v>2000707</v>
      </c>
      <c r="D734" s="86">
        <f>E734+F734+G734+H734+I734</f>
        <v>0</v>
      </c>
      <c r="E734" s="81"/>
      <c r="F734" s="81"/>
      <c r="G734" s="81"/>
      <c r="H734" s="81"/>
      <c r="I734" s="81"/>
      <c r="J734" s="81"/>
      <c r="K734" s="81"/>
      <c r="L734" s="86"/>
      <c r="M734" s="97"/>
      <c r="N734" s="86">
        <v>1289</v>
      </c>
      <c r="O734" s="86">
        <v>597061</v>
      </c>
      <c r="P734" s="86">
        <v>3329</v>
      </c>
      <c r="Q734" s="86">
        <v>1403646</v>
      </c>
      <c r="R734" s="81"/>
      <c r="S734" s="81"/>
      <c r="T734" s="81"/>
      <c r="U734" s="81"/>
      <c r="V734" s="97"/>
      <c r="W734" s="97"/>
      <c r="X734" s="97"/>
      <c r="Y734" s="14"/>
      <c r="Z734" s="12"/>
      <c r="AA734" s="11"/>
      <c r="AB734" s="12"/>
      <c r="AC734" s="12"/>
    </row>
    <row r="735" spans="1:29" ht="12.75" customHeight="1">
      <c r="A735" s="96">
        <f aca="true" t="shared" si="161" ref="A735:A799">A734+1</f>
        <v>557</v>
      </c>
      <c r="B735" s="13" t="s">
        <v>534</v>
      </c>
      <c r="C735" s="97">
        <f aca="true" t="shared" si="162" ref="C735:C783">D735+K735+M735+O735+Q735+S735+U735+V735+W735+X735</f>
        <v>2125703</v>
      </c>
      <c r="D735" s="86">
        <f aca="true" t="shared" si="163" ref="D735:D783">E735+F735+G735+H735+I735</f>
        <v>0</v>
      </c>
      <c r="E735" s="81"/>
      <c r="F735" s="81"/>
      <c r="G735" s="81"/>
      <c r="H735" s="81"/>
      <c r="I735" s="81"/>
      <c r="J735" s="81"/>
      <c r="K735" s="81"/>
      <c r="L735" s="86"/>
      <c r="M735" s="97"/>
      <c r="N735" s="86">
        <v>1343</v>
      </c>
      <c r="O735" s="86">
        <v>619057</v>
      </c>
      <c r="P735" s="86">
        <v>3260</v>
      </c>
      <c r="Q735" s="86">
        <v>1506646</v>
      </c>
      <c r="R735" s="81"/>
      <c r="S735" s="81"/>
      <c r="T735" s="81"/>
      <c r="U735" s="81"/>
      <c r="V735" s="97"/>
      <c r="W735" s="97"/>
      <c r="X735" s="97"/>
      <c r="Y735" s="14"/>
      <c r="Z735" s="12"/>
      <c r="AA735" s="11"/>
      <c r="AB735" s="12"/>
      <c r="AC735" s="12"/>
    </row>
    <row r="736" spans="1:29" ht="12.75" customHeight="1">
      <c r="A736" s="96">
        <f t="shared" si="161"/>
        <v>558</v>
      </c>
      <c r="B736" s="13" t="s">
        <v>535</v>
      </c>
      <c r="C736" s="97">
        <f t="shared" si="162"/>
        <v>3555846</v>
      </c>
      <c r="D736" s="86">
        <f t="shared" si="163"/>
        <v>0</v>
      </c>
      <c r="E736" s="81"/>
      <c r="F736" s="81"/>
      <c r="G736" s="81"/>
      <c r="H736" s="81"/>
      <c r="I736" s="81"/>
      <c r="J736" s="81"/>
      <c r="K736" s="81"/>
      <c r="L736" s="86">
        <v>1422</v>
      </c>
      <c r="M736" s="97">
        <v>1579072</v>
      </c>
      <c r="N736" s="86">
        <v>1300</v>
      </c>
      <c r="O736" s="86">
        <v>586168</v>
      </c>
      <c r="P736" s="86">
        <v>3299</v>
      </c>
      <c r="Q736" s="86">
        <v>1390606</v>
      </c>
      <c r="R736" s="81"/>
      <c r="S736" s="81"/>
      <c r="T736" s="81"/>
      <c r="U736" s="81"/>
      <c r="V736" s="97"/>
      <c r="W736" s="97"/>
      <c r="X736" s="97"/>
      <c r="Y736" s="14"/>
      <c r="Z736" s="12"/>
      <c r="AA736" s="11"/>
      <c r="AB736" s="12"/>
      <c r="AC736" s="12"/>
    </row>
    <row r="737" spans="1:29" ht="12.75" customHeight="1">
      <c r="A737" s="96">
        <f t="shared" si="161"/>
        <v>559</v>
      </c>
      <c r="B737" s="13" t="s">
        <v>536</v>
      </c>
      <c r="C737" s="97">
        <f t="shared" si="162"/>
        <v>1753568</v>
      </c>
      <c r="D737" s="86">
        <f t="shared" si="163"/>
        <v>0</v>
      </c>
      <c r="E737" s="81"/>
      <c r="F737" s="81"/>
      <c r="G737" s="81"/>
      <c r="H737" s="81"/>
      <c r="I737" s="81"/>
      <c r="J737" s="81"/>
      <c r="K737" s="81"/>
      <c r="L737" s="86"/>
      <c r="M737" s="97"/>
      <c r="N737" s="86">
        <v>1300</v>
      </c>
      <c r="O737" s="86">
        <v>492980</v>
      </c>
      <c r="P737" s="86">
        <v>3417</v>
      </c>
      <c r="Q737" s="86">
        <v>1260588</v>
      </c>
      <c r="R737" s="81"/>
      <c r="S737" s="81"/>
      <c r="T737" s="81"/>
      <c r="U737" s="81"/>
      <c r="V737" s="97"/>
      <c r="W737" s="97"/>
      <c r="X737" s="97"/>
      <c r="Y737" s="14"/>
      <c r="Z737" s="12"/>
      <c r="AA737" s="11"/>
      <c r="AB737" s="12"/>
      <c r="AC737" s="12"/>
    </row>
    <row r="738" spans="1:29" ht="12.75" customHeight="1">
      <c r="A738" s="96">
        <f t="shared" si="161"/>
        <v>560</v>
      </c>
      <c r="B738" s="13" t="s">
        <v>537</v>
      </c>
      <c r="C738" s="97">
        <f t="shared" si="162"/>
        <v>499226</v>
      </c>
      <c r="D738" s="86">
        <f t="shared" si="163"/>
        <v>0</v>
      </c>
      <c r="E738" s="81"/>
      <c r="F738" s="81"/>
      <c r="G738" s="81"/>
      <c r="H738" s="81"/>
      <c r="I738" s="81"/>
      <c r="J738" s="81"/>
      <c r="K738" s="81"/>
      <c r="L738" s="86"/>
      <c r="M738" s="97"/>
      <c r="N738" s="86">
        <v>1289</v>
      </c>
      <c r="O738" s="86">
        <v>499226</v>
      </c>
      <c r="P738" s="86"/>
      <c r="Q738" s="86"/>
      <c r="R738" s="81"/>
      <c r="S738" s="81"/>
      <c r="T738" s="81"/>
      <c r="U738" s="81"/>
      <c r="V738" s="97"/>
      <c r="W738" s="97"/>
      <c r="X738" s="97"/>
      <c r="Y738" s="14"/>
      <c r="Z738" s="12"/>
      <c r="AA738" s="11"/>
      <c r="AB738" s="12"/>
      <c r="AC738" s="12"/>
    </row>
    <row r="739" spans="1:29" ht="12.75" customHeight="1">
      <c r="A739" s="96">
        <f t="shared" si="161"/>
        <v>561</v>
      </c>
      <c r="B739" s="13" t="s">
        <v>538</v>
      </c>
      <c r="C739" s="97">
        <f t="shared" si="162"/>
        <v>4013840</v>
      </c>
      <c r="D739" s="86">
        <f t="shared" si="163"/>
        <v>0</v>
      </c>
      <c r="E739" s="81"/>
      <c r="F739" s="81"/>
      <c r="G739" s="81"/>
      <c r="H739" s="81"/>
      <c r="I739" s="81"/>
      <c r="J739" s="81"/>
      <c r="K739" s="81"/>
      <c r="L739" s="86">
        <v>919</v>
      </c>
      <c r="M739" s="97">
        <v>3513737</v>
      </c>
      <c r="N739" s="86">
        <v>709</v>
      </c>
      <c r="O739" s="86">
        <v>500103</v>
      </c>
      <c r="P739" s="86"/>
      <c r="Q739" s="86"/>
      <c r="R739" s="81"/>
      <c r="S739" s="81"/>
      <c r="T739" s="81"/>
      <c r="U739" s="81"/>
      <c r="V739" s="97"/>
      <c r="W739" s="97"/>
      <c r="X739" s="97"/>
      <c r="Y739" s="14"/>
      <c r="Z739" s="12"/>
      <c r="AA739" s="11"/>
      <c r="AB739" s="12"/>
      <c r="AC739" s="12"/>
    </row>
    <row r="740" spans="1:29" ht="12.75" customHeight="1">
      <c r="A740" s="96">
        <f t="shared" si="161"/>
        <v>562</v>
      </c>
      <c r="B740" s="13" t="s">
        <v>539</v>
      </c>
      <c r="C740" s="97">
        <f t="shared" si="162"/>
        <v>2317297</v>
      </c>
      <c r="D740" s="86">
        <f t="shared" si="163"/>
        <v>0</v>
      </c>
      <c r="E740" s="81"/>
      <c r="F740" s="81"/>
      <c r="G740" s="81"/>
      <c r="H740" s="81"/>
      <c r="I740" s="81"/>
      <c r="J740" s="81"/>
      <c r="K740" s="81"/>
      <c r="L740" s="86">
        <v>981</v>
      </c>
      <c r="M740" s="97">
        <v>1067153</v>
      </c>
      <c r="N740" s="86">
        <v>737</v>
      </c>
      <c r="O740" s="86">
        <v>394230</v>
      </c>
      <c r="P740" s="86">
        <v>2359</v>
      </c>
      <c r="Q740" s="86">
        <v>855914</v>
      </c>
      <c r="R740" s="81"/>
      <c r="S740" s="81"/>
      <c r="T740" s="81"/>
      <c r="U740" s="81"/>
      <c r="V740" s="97"/>
      <c r="W740" s="97"/>
      <c r="X740" s="97"/>
      <c r="Y740" s="14"/>
      <c r="Z740" s="12"/>
      <c r="AA740" s="11"/>
      <c r="AB740" s="12"/>
      <c r="AC740" s="12"/>
    </row>
    <row r="741" spans="1:29" ht="12.75" customHeight="1">
      <c r="A741" s="96">
        <f t="shared" si="161"/>
        <v>563</v>
      </c>
      <c r="B741" s="13" t="s">
        <v>540</v>
      </c>
      <c r="C741" s="97">
        <f t="shared" si="162"/>
        <v>2234937</v>
      </c>
      <c r="D741" s="86">
        <f t="shared" si="163"/>
        <v>0</v>
      </c>
      <c r="E741" s="81"/>
      <c r="F741" s="81"/>
      <c r="G741" s="81"/>
      <c r="H741" s="81"/>
      <c r="I741" s="81"/>
      <c r="J741" s="81"/>
      <c r="K741" s="81"/>
      <c r="L741" s="86">
        <v>928</v>
      </c>
      <c r="M741" s="97">
        <v>977965</v>
      </c>
      <c r="N741" s="86">
        <v>650</v>
      </c>
      <c r="O741" s="86">
        <v>388604</v>
      </c>
      <c r="P741" s="86">
        <v>2360</v>
      </c>
      <c r="Q741" s="86">
        <v>868368</v>
      </c>
      <c r="R741" s="81"/>
      <c r="S741" s="81"/>
      <c r="T741" s="81"/>
      <c r="U741" s="81"/>
      <c r="V741" s="97"/>
      <c r="W741" s="97"/>
      <c r="X741" s="97"/>
      <c r="Y741" s="14"/>
      <c r="Z741" s="12"/>
      <c r="AA741" s="11"/>
      <c r="AB741" s="12"/>
      <c r="AC741" s="12"/>
    </row>
    <row r="742" spans="1:29" ht="12.75" customHeight="1">
      <c r="A742" s="96">
        <f t="shared" si="161"/>
        <v>564</v>
      </c>
      <c r="B742" s="13" t="s">
        <v>541</v>
      </c>
      <c r="C742" s="97">
        <f t="shared" si="162"/>
        <v>2267096</v>
      </c>
      <c r="D742" s="86">
        <f t="shared" si="163"/>
        <v>0</v>
      </c>
      <c r="E742" s="81"/>
      <c r="F742" s="81"/>
      <c r="G742" s="81"/>
      <c r="H742" s="81"/>
      <c r="I742" s="81"/>
      <c r="J742" s="81"/>
      <c r="K742" s="81"/>
      <c r="L742" s="86">
        <v>1095</v>
      </c>
      <c r="M742" s="97">
        <v>999882</v>
      </c>
      <c r="N742" s="86">
        <v>780</v>
      </c>
      <c r="O742" s="86">
        <v>411300</v>
      </c>
      <c r="P742" s="86">
        <v>2320</v>
      </c>
      <c r="Q742" s="86">
        <v>855914</v>
      </c>
      <c r="R742" s="81"/>
      <c r="S742" s="81"/>
      <c r="T742" s="81"/>
      <c r="U742" s="81"/>
      <c r="V742" s="97"/>
      <c r="W742" s="97"/>
      <c r="X742" s="97"/>
      <c r="Y742" s="14"/>
      <c r="Z742" s="12"/>
      <c r="AA742" s="11"/>
      <c r="AB742" s="12"/>
      <c r="AC742" s="12"/>
    </row>
    <row r="743" spans="1:29" ht="12.75" customHeight="1">
      <c r="A743" s="96">
        <f t="shared" si="161"/>
        <v>565</v>
      </c>
      <c r="B743" s="13" t="s">
        <v>542</v>
      </c>
      <c r="C743" s="97">
        <f t="shared" si="162"/>
        <v>1043849</v>
      </c>
      <c r="D743" s="86">
        <f t="shared" si="163"/>
        <v>0</v>
      </c>
      <c r="E743" s="81"/>
      <c r="F743" s="81"/>
      <c r="G743" s="81"/>
      <c r="H743" s="81"/>
      <c r="I743" s="81"/>
      <c r="J743" s="81"/>
      <c r="K743" s="81"/>
      <c r="L743" s="86"/>
      <c r="M743" s="97"/>
      <c r="N743" s="86"/>
      <c r="O743" s="86"/>
      <c r="P743" s="86">
        <v>3642</v>
      </c>
      <c r="Q743" s="86">
        <f>989030+54819</f>
        <v>1043849</v>
      </c>
      <c r="R743" s="81"/>
      <c r="S743" s="81"/>
      <c r="T743" s="81"/>
      <c r="U743" s="81"/>
      <c r="V743" s="97"/>
      <c r="W743" s="97"/>
      <c r="X743" s="97"/>
      <c r="Y743" s="14"/>
      <c r="Z743" s="12"/>
      <c r="AA743" s="11"/>
      <c r="AB743" s="12"/>
      <c r="AC743" s="12"/>
    </row>
    <row r="744" spans="1:29" ht="12.75" customHeight="1">
      <c r="A744" s="96">
        <f t="shared" si="161"/>
        <v>566</v>
      </c>
      <c r="B744" s="13" t="s">
        <v>543</v>
      </c>
      <c r="C744" s="97">
        <f t="shared" si="162"/>
        <v>2410068</v>
      </c>
      <c r="D744" s="86">
        <f t="shared" si="163"/>
        <v>0</v>
      </c>
      <c r="E744" s="81"/>
      <c r="F744" s="81"/>
      <c r="G744" s="81"/>
      <c r="H744" s="81"/>
      <c r="I744" s="81"/>
      <c r="J744" s="81"/>
      <c r="K744" s="81"/>
      <c r="L744" s="86">
        <v>1948</v>
      </c>
      <c r="M744" s="97">
        <v>2410068</v>
      </c>
      <c r="N744" s="81"/>
      <c r="O744" s="81"/>
      <c r="P744" s="81"/>
      <c r="Q744" s="81"/>
      <c r="R744" s="81"/>
      <c r="S744" s="81"/>
      <c r="T744" s="81"/>
      <c r="U744" s="81"/>
      <c r="V744" s="97"/>
      <c r="W744" s="97"/>
      <c r="X744" s="97"/>
      <c r="Y744" s="14"/>
      <c r="Z744" s="12"/>
      <c r="AA744" s="11"/>
      <c r="AB744" s="12"/>
      <c r="AC744" s="12"/>
    </row>
    <row r="745" spans="1:29" ht="12.75" customHeight="1">
      <c r="A745" s="96">
        <f t="shared" si="161"/>
        <v>567</v>
      </c>
      <c r="B745" s="13" t="s">
        <v>544</v>
      </c>
      <c r="C745" s="97">
        <f t="shared" si="162"/>
        <v>1382623</v>
      </c>
      <c r="D745" s="86">
        <f t="shared" si="163"/>
        <v>0</v>
      </c>
      <c r="E745" s="81"/>
      <c r="F745" s="81"/>
      <c r="G745" s="81"/>
      <c r="H745" s="81"/>
      <c r="I745" s="81"/>
      <c r="J745" s="81"/>
      <c r="K745" s="86"/>
      <c r="L745" s="86"/>
      <c r="M745" s="97"/>
      <c r="N745" s="86">
        <v>750</v>
      </c>
      <c r="O745" s="86">
        <v>1382623</v>
      </c>
      <c r="P745" s="81"/>
      <c r="Q745" s="81"/>
      <c r="R745" s="81"/>
      <c r="S745" s="81"/>
      <c r="T745" s="81"/>
      <c r="U745" s="81"/>
      <c r="V745" s="97"/>
      <c r="W745" s="97"/>
      <c r="X745" s="97"/>
      <c r="Y745" s="14"/>
      <c r="Z745" s="12"/>
      <c r="AA745" s="11"/>
      <c r="AB745" s="12"/>
      <c r="AC745" s="12"/>
    </row>
    <row r="746" spans="1:29" ht="12.75" customHeight="1">
      <c r="A746" s="96">
        <f t="shared" si="161"/>
        <v>568</v>
      </c>
      <c r="B746" s="13" t="s">
        <v>545</v>
      </c>
      <c r="C746" s="97">
        <f t="shared" si="162"/>
        <v>2413032</v>
      </c>
      <c r="D746" s="86">
        <f t="shared" si="163"/>
        <v>0</v>
      </c>
      <c r="E746" s="81"/>
      <c r="F746" s="81"/>
      <c r="G746" s="81"/>
      <c r="H746" s="81"/>
      <c r="I746" s="81"/>
      <c r="J746" s="81"/>
      <c r="K746" s="86"/>
      <c r="L746" s="86"/>
      <c r="M746" s="97"/>
      <c r="N746" s="86">
        <v>1242</v>
      </c>
      <c r="O746" s="86">
        <v>2413032</v>
      </c>
      <c r="P746" s="81"/>
      <c r="Q746" s="81"/>
      <c r="R746" s="81"/>
      <c r="S746" s="81"/>
      <c r="T746" s="81"/>
      <c r="U746" s="81"/>
      <c r="V746" s="97"/>
      <c r="W746" s="97"/>
      <c r="X746" s="97"/>
      <c r="Y746" s="14"/>
      <c r="Z746" s="12"/>
      <c r="AA746" s="11"/>
      <c r="AB746" s="12"/>
      <c r="AC746" s="12"/>
    </row>
    <row r="747" spans="1:29" ht="12.75" customHeight="1">
      <c r="A747" s="96">
        <f t="shared" si="161"/>
        <v>569</v>
      </c>
      <c r="B747" s="13" t="s">
        <v>546</v>
      </c>
      <c r="C747" s="97">
        <f t="shared" si="162"/>
        <v>1568192</v>
      </c>
      <c r="D747" s="86">
        <f t="shared" si="163"/>
        <v>0</v>
      </c>
      <c r="E747" s="81"/>
      <c r="F747" s="81"/>
      <c r="G747" s="81"/>
      <c r="H747" s="81"/>
      <c r="I747" s="81"/>
      <c r="J747" s="81"/>
      <c r="K747" s="86"/>
      <c r="L747" s="86">
        <v>1038</v>
      </c>
      <c r="M747" s="97">
        <v>1568192</v>
      </c>
      <c r="N747" s="81"/>
      <c r="O747" s="81"/>
      <c r="P747" s="81"/>
      <c r="Q747" s="81"/>
      <c r="R747" s="81"/>
      <c r="S747" s="81"/>
      <c r="T747" s="81"/>
      <c r="U747" s="81"/>
      <c r="V747" s="97"/>
      <c r="W747" s="97"/>
      <c r="X747" s="97"/>
      <c r="Y747" s="14"/>
      <c r="Z747" s="12"/>
      <c r="AA747" s="11"/>
      <c r="AB747" s="12"/>
      <c r="AC747" s="12"/>
    </row>
    <row r="748" spans="1:29" ht="12.75" customHeight="1">
      <c r="A748" s="96">
        <f t="shared" si="161"/>
        <v>570</v>
      </c>
      <c r="B748" s="13" t="s">
        <v>549</v>
      </c>
      <c r="C748" s="97">
        <f t="shared" si="162"/>
        <v>1650061</v>
      </c>
      <c r="D748" s="86">
        <f t="shared" si="163"/>
        <v>0</v>
      </c>
      <c r="E748" s="81"/>
      <c r="F748" s="81"/>
      <c r="G748" s="81"/>
      <c r="H748" s="81"/>
      <c r="I748" s="81"/>
      <c r="J748" s="81"/>
      <c r="K748" s="86"/>
      <c r="L748" s="86">
        <v>1288</v>
      </c>
      <c r="M748" s="97">
        <v>1650061</v>
      </c>
      <c r="N748" s="81"/>
      <c r="O748" s="81"/>
      <c r="P748" s="81"/>
      <c r="Q748" s="81"/>
      <c r="R748" s="81"/>
      <c r="S748" s="81"/>
      <c r="T748" s="81"/>
      <c r="U748" s="81"/>
      <c r="V748" s="97"/>
      <c r="W748" s="97"/>
      <c r="X748" s="97"/>
      <c r="Y748" s="14"/>
      <c r="Z748" s="12"/>
      <c r="AA748" s="11"/>
      <c r="AB748" s="12"/>
      <c r="AC748" s="12"/>
    </row>
    <row r="749" spans="1:29" s="253" customFormat="1" ht="18" customHeight="1">
      <c r="A749" s="96">
        <f t="shared" si="161"/>
        <v>571</v>
      </c>
      <c r="B749" s="89" t="s">
        <v>767</v>
      </c>
      <c r="C749" s="97">
        <f t="shared" si="162"/>
        <v>11096226</v>
      </c>
      <c r="D749" s="86">
        <f t="shared" si="163"/>
        <v>10739146</v>
      </c>
      <c r="E749" s="86"/>
      <c r="F749" s="249">
        <v>10739146</v>
      </c>
      <c r="G749" s="86"/>
      <c r="H749" s="86"/>
      <c r="I749" s="86"/>
      <c r="J749" s="97"/>
      <c r="K749" s="97"/>
      <c r="L749" s="86"/>
      <c r="M749" s="86"/>
      <c r="N749" s="86"/>
      <c r="O749" s="86"/>
      <c r="P749" s="86"/>
      <c r="Q749" s="86"/>
      <c r="R749" s="97"/>
      <c r="S749" s="97"/>
      <c r="T749" s="97"/>
      <c r="U749" s="97"/>
      <c r="V749" s="249">
        <v>357080</v>
      </c>
      <c r="W749" s="97"/>
      <c r="X749" s="255"/>
      <c r="Y749" s="251"/>
      <c r="Z749" s="252"/>
      <c r="AA749" s="252"/>
      <c r="AB749" s="12"/>
      <c r="AC749" s="12"/>
    </row>
    <row r="750" spans="1:29" ht="12.75" customHeight="1">
      <c r="A750" s="96">
        <f t="shared" si="161"/>
        <v>572</v>
      </c>
      <c r="B750" s="13" t="s">
        <v>547</v>
      </c>
      <c r="C750" s="97">
        <f>D750+K750+M750+O750+Q750+S750+U750+V750+W750+X750</f>
        <v>96495</v>
      </c>
      <c r="D750" s="86">
        <f>E750+F750+G750+H750+I750</f>
        <v>0</v>
      </c>
      <c r="E750" s="81"/>
      <c r="F750" s="81"/>
      <c r="G750" s="81"/>
      <c r="H750" s="81"/>
      <c r="I750" s="81"/>
      <c r="J750" s="81"/>
      <c r="K750" s="81"/>
      <c r="L750" s="86"/>
      <c r="M750" s="97"/>
      <c r="N750" s="81"/>
      <c r="O750" s="81"/>
      <c r="P750" s="81"/>
      <c r="Q750" s="81"/>
      <c r="R750" s="81"/>
      <c r="S750" s="81"/>
      <c r="T750" s="81"/>
      <c r="U750" s="81"/>
      <c r="V750" s="97"/>
      <c r="W750" s="97">
        <v>96495</v>
      </c>
      <c r="X750" s="97"/>
      <c r="Y750" s="14"/>
      <c r="Z750" s="12"/>
      <c r="AA750" s="11"/>
      <c r="AB750" s="12"/>
      <c r="AC750" s="12"/>
    </row>
    <row r="751" spans="1:29" ht="12.75" customHeight="1">
      <c r="A751" s="96">
        <f t="shared" si="161"/>
        <v>573</v>
      </c>
      <c r="B751" s="13" t="s">
        <v>23</v>
      </c>
      <c r="C751" s="97">
        <f>D751+K751+M751+O751+Q751+S751+U751+V751+W751+X751</f>
        <v>111797</v>
      </c>
      <c r="D751" s="86">
        <f>E751+F751+G751+H751+I751</f>
        <v>0</v>
      </c>
      <c r="E751" s="81"/>
      <c r="F751" s="81"/>
      <c r="G751" s="81"/>
      <c r="H751" s="81"/>
      <c r="I751" s="81"/>
      <c r="J751" s="81"/>
      <c r="K751" s="81"/>
      <c r="L751" s="86"/>
      <c r="M751" s="97"/>
      <c r="N751" s="81"/>
      <c r="O751" s="81"/>
      <c r="P751" s="81"/>
      <c r="Q751" s="81"/>
      <c r="R751" s="81"/>
      <c r="S751" s="81"/>
      <c r="T751" s="81"/>
      <c r="U751" s="81"/>
      <c r="V751" s="97"/>
      <c r="W751" s="97">
        <v>111797</v>
      </c>
      <c r="X751" s="97"/>
      <c r="Y751" s="14"/>
      <c r="Z751" s="12"/>
      <c r="AA751" s="11"/>
      <c r="AB751" s="12"/>
      <c r="AC751" s="12"/>
    </row>
    <row r="752" spans="1:29" ht="12.75" customHeight="1">
      <c r="A752" s="96">
        <f t="shared" si="161"/>
        <v>574</v>
      </c>
      <c r="B752" s="13" t="s">
        <v>24</v>
      </c>
      <c r="C752" s="97">
        <f>D752+K752+M752+O752+Q752+S752+U752+V752+W752+X752</f>
        <v>109112</v>
      </c>
      <c r="D752" s="86">
        <f>E752+F752+G752+H752+I752</f>
        <v>0</v>
      </c>
      <c r="E752" s="81"/>
      <c r="F752" s="81"/>
      <c r="G752" s="81"/>
      <c r="H752" s="81"/>
      <c r="I752" s="81"/>
      <c r="J752" s="81"/>
      <c r="K752" s="81"/>
      <c r="L752" s="86"/>
      <c r="M752" s="97"/>
      <c r="N752" s="81"/>
      <c r="O752" s="81"/>
      <c r="P752" s="81"/>
      <c r="Q752" s="81"/>
      <c r="R752" s="81"/>
      <c r="S752" s="81"/>
      <c r="T752" s="81"/>
      <c r="U752" s="81"/>
      <c r="V752" s="97"/>
      <c r="W752" s="97">
        <v>109112</v>
      </c>
      <c r="X752" s="97"/>
      <c r="Y752" s="14"/>
      <c r="Z752" s="12"/>
      <c r="AA752" s="11"/>
      <c r="AB752" s="12"/>
      <c r="AC752" s="12"/>
    </row>
    <row r="753" spans="1:29" ht="12.75" customHeight="1">
      <c r="A753" s="96">
        <f t="shared" si="161"/>
        <v>575</v>
      </c>
      <c r="B753" s="13" t="s">
        <v>548</v>
      </c>
      <c r="C753" s="97">
        <f t="shared" si="162"/>
        <v>96780</v>
      </c>
      <c r="D753" s="86">
        <f t="shared" si="163"/>
        <v>0</v>
      </c>
      <c r="E753" s="81"/>
      <c r="F753" s="81"/>
      <c r="G753" s="81"/>
      <c r="H753" s="81"/>
      <c r="I753" s="81"/>
      <c r="J753" s="81"/>
      <c r="K753" s="81"/>
      <c r="L753" s="86"/>
      <c r="M753" s="97"/>
      <c r="N753" s="81"/>
      <c r="O753" s="81"/>
      <c r="P753" s="81"/>
      <c r="Q753" s="81"/>
      <c r="R753" s="81"/>
      <c r="S753" s="81"/>
      <c r="T753" s="81"/>
      <c r="U753" s="81"/>
      <c r="V753" s="97"/>
      <c r="W753" s="97">
        <v>96780</v>
      </c>
      <c r="X753" s="97"/>
      <c r="Y753" s="14"/>
      <c r="Z753" s="12"/>
      <c r="AA753" s="11"/>
      <c r="AB753" s="12"/>
      <c r="AC753" s="12"/>
    </row>
    <row r="754" spans="1:29" ht="12.75" customHeight="1">
      <c r="A754" s="96">
        <f t="shared" si="161"/>
        <v>576</v>
      </c>
      <c r="B754" s="13" t="s">
        <v>824</v>
      </c>
      <c r="C754" s="97">
        <f t="shared" si="162"/>
        <v>2164931</v>
      </c>
      <c r="D754" s="86">
        <f t="shared" si="163"/>
        <v>0</v>
      </c>
      <c r="E754" s="81"/>
      <c r="F754" s="81"/>
      <c r="G754" s="81"/>
      <c r="H754" s="81"/>
      <c r="I754" s="81"/>
      <c r="J754" s="81"/>
      <c r="K754" s="81"/>
      <c r="L754" s="86">
        <v>555</v>
      </c>
      <c r="M754" s="97">
        <v>1838699</v>
      </c>
      <c r="N754" s="86"/>
      <c r="O754" s="86"/>
      <c r="P754" s="86">
        <v>610</v>
      </c>
      <c r="Q754" s="86">
        <v>326232</v>
      </c>
      <c r="R754" s="81"/>
      <c r="S754" s="81"/>
      <c r="T754" s="81"/>
      <c r="U754" s="81"/>
      <c r="V754" s="97"/>
      <c r="W754" s="97"/>
      <c r="X754" s="97"/>
      <c r="Y754" s="14"/>
      <c r="Z754" s="12"/>
      <c r="AA754" s="11"/>
      <c r="AB754" s="12"/>
      <c r="AC754" s="12"/>
    </row>
    <row r="755" spans="1:29" ht="12.75" customHeight="1">
      <c r="A755" s="96">
        <f t="shared" si="161"/>
        <v>577</v>
      </c>
      <c r="B755" s="13" t="s">
        <v>25</v>
      </c>
      <c r="C755" s="97">
        <f>D755+K755+M755+O755+Q755+S755+U755+V755+W755+X755</f>
        <v>73730</v>
      </c>
      <c r="D755" s="86">
        <f>E755+F755+G755+H755+I755</f>
        <v>0</v>
      </c>
      <c r="E755" s="81"/>
      <c r="F755" s="81"/>
      <c r="G755" s="81"/>
      <c r="H755" s="81"/>
      <c r="I755" s="81"/>
      <c r="J755" s="81"/>
      <c r="K755" s="81"/>
      <c r="L755" s="86"/>
      <c r="M755" s="97"/>
      <c r="N755" s="81"/>
      <c r="O755" s="81"/>
      <c r="P755" s="81"/>
      <c r="Q755" s="81"/>
      <c r="R755" s="81"/>
      <c r="S755" s="81"/>
      <c r="T755" s="81"/>
      <c r="U755" s="81"/>
      <c r="V755" s="97"/>
      <c r="W755" s="97">
        <v>73730</v>
      </c>
      <c r="X755" s="97"/>
      <c r="Y755" s="14"/>
      <c r="Z755" s="12"/>
      <c r="AA755" s="11"/>
      <c r="AB755" s="12"/>
      <c r="AC755" s="12"/>
    </row>
    <row r="756" spans="1:29" ht="12.75" customHeight="1">
      <c r="A756" s="96">
        <f t="shared" si="161"/>
        <v>578</v>
      </c>
      <c r="B756" s="13" t="s">
        <v>825</v>
      </c>
      <c r="C756" s="97">
        <f>D756+K756+M756+O756+Q756+S756+U756+V756+W756+X756</f>
        <v>78437</v>
      </c>
      <c r="D756" s="86">
        <f>E756+F756+G756+H756+I756</f>
        <v>0</v>
      </c>
      <c r="E756" s="81"/>
      <c r="F756" s="81"/>
      <c r="G756" s="81"/>
      <c r="H756" s="81"/>
      <c r="I756" s="81"/>
      <c r="J756" s="81"/>
      <c r="K756" s="81"/>
      <c r="L756" s="86"/>
      <c r="M756" s="97"/>
      <c r="N756" s="81"/>
      <c r="O756" s="81"/>
      <c r="P756" s="81"/>
      <c r="Q756" s="81"/>
      <c r="R756" s="81"/>
      <c r="S756" s="81"/>
      <c r="T756" s="81"/>
      <c r="U756" s="81"/>
      <c r="V756" s="97"/>
      <c r="W756" s="97">
        <v>78437</v>
      </c>
      <c r="X756" s="97"/>
      <c r="Y756" s="14"/>
      <c r="Z756" s="12"/>
      <c r="AA756" s="11"/>
      <c r="AB756" s="12"/>
      <c r="AC756" s="12"/>
    </row>
    <row r="757" spans="1:29" ht="12.75" customHeight="1">
      <c r="A757" s="96">
        <f t="shared" si="161"/>
        <v>579</v>
      </c>
      <c r="B757" s="13" t="s">
        <v>826</v>
      </c>
      <c r="C757" s="97">
        <f t="shared" si="162"/>
        <v>82465</v>
      </c>
      <c r="D757" s="86">
        <f t="shared" si="163"/>
        <v>0</v>
      </c>
      <c r="E757" s="81"/>
      <c r="F757" s="81"/>
      <c r="G757" s="81"/>
      <c r="H757" s="81"/>
      <c r="I757" s="81"/>
      <c r="J757" s="81"/>
      <c r="K757" s="81"/>
      <c r="L757" s="86"/>
      <c r="M757" s="97"/>
      <c r="N757" s="81"/>
      <c r="O757" s="81"/>
      <c r="P757" s="81"/>
      <c r="Q757" s="81"/>
      <c r="R757" s="81"/>
      <c r="S757" s="81"/>
      <c r="T757" s="81"/>
      <c r="U757" s="81"/>
      <c r="V757" s="97"/>
      <c r="W757" s="97">
        <v>82465</v>
      </c>
      <c r="X757" s="97"/>
      <c r="Y757" s="14"/>
      <c r="Z757" s="12"/>
      <c r="AA757" s="11"/>
      <c r="AB757" s="12"/>
      <c r="AC757" s="12"/>
    </row>
    <row r="758" spans="1:29" ht="12.75" customHeight="1">
      <c r="A758" s="96">
        <f t="shared" si="161"/>
        <v>580</v>
      </c>
      <c r="B758" s="13" t="s">
        <v>827</v>
      </c>
      <c r="C758" s="97">
        <f t="shared" si="162"/>
        <v>1333052</v>
      </c>
      <c r="D758" s="86">
        <f t="shared" si="163"/>
        <v>0</v>
      </c>
      <c r="E758" s="81"/>
      <c r="F758" s="81"/>
      <c r="G758" s="81"/>
      <c r="H758" s="81"/>
      <c r="I758" s="81"/>
      <c r="J758" s="81"/>
      <c r="K758" s="81"/>
      <c r="L758" s="86">
        <v>280</v>
      </c>
      <c r="M758" s="97">
        <v>1260408</v>
      </c>
      <c r="N758" s="81"/>
      <c r="O758" s="81"/>
      <c r="P758" s="81"/>
      <c r="Q758" s="81"/>
      <c r="R758" s="81"/>
      <c r="S758" s="81"/>
      <c r="T758" s="81"/>
      <c r="U758" s="81"/>
      <c r="V758" s="97"/>
      <c r="W758" s="97">
        <v>72644</v>
      </c>
      <c r="X758" s="97"/>
      <c r="Y758" s="14"/>
      <c r="Z758" s="12"/>
      <c r="AA758" s="11"/>
      <c r="AB758" s="12"/>
      <c r="AC758" s="12"/>
    </row>
    <row r="759" spans="1:29" ht="12.75" customHeight="1">
      <c r="A759" s="96">
        <f t="shared" si="161"/>
        <v>581</v>
      </c>
      <c r="B759" s="13" t="s">
        <v>27</v>
      </c>
      <c r="C759" s="97">
        <f>D759+K759+M759+O759+Q759+S759+U759+V759+W759+X759</f>
        <v>101610</v>
      </c>
      <c r="D759" s="86">
        <f>E759+F759+G759+H759+I759</f>
        <v>0</v>
      </c>
      <c r="E759" s="81"/>
      <c r="F759" s="81"/>
      <c r="G759" s="81"/>
      <c r="H759" s="81"/>
      <c r="I759" s="81"/>
      <c r="J759" s="81"/>
      <c r="K759" s="81"/>
      <c r="L759" s="86"/>
      <c r="M759" s="97"/>
      <c r="N759" s="81"/>
      <c r="O759" s="81"/>
      <c r="P759" s="81"/>
      <c r="Q759" s="81"/>
      <c r="R759" s="81"/>
      <c r="S759" s="81"/>
      <c r="T759" s="81"/>
      <c r="U759" s="81"/>
      <c r="V759" s="97"/>
      <c r="W759" s="97">
        <v>101610</v>
      </c>
      <c r="X759" s="97"/>
      <c r="Y759" s="14"/>
      <c r="Z759" s="12"/>
      <c r="AA759" s="11"/>
      <c r="AB759" s="12"/>
      <c r="AC759" s="12"/>
    </row>
    <row r="760" spans="1:29" ht="12.75" customHeight="1">
      <c r="A760" s="96">
        <f t="shared" si="161"/>
        <v>582</v>
      </c>
      <c r="B760" s="13" t="s">
        <v>26</v>
      </c>
      <c r="C760" s="97">
        <f t="shared" si="162"/>
        <v>66215</v>
      </c>
      <c r="D760" s="86">
        <f t="shared" si="163"/>
        <v>0</v>
      </c>
      <c r="E760" s="81"/>
      <c r="F760" s="81"/>
      <c r="G760" s="81"/>
      <c r="H760" s="81"/>
      <c r="I760" s="81"/>
      <c r="J760" s="81"/>
      <c r="K760" s="81"/>
      <c r="L760" s="86"/>
      <c r="M760" s="97"/>
      <c r="N760" s="81"/>
      <c r="O760" s="81"/>
      <c r="P760" s="81"/>
      <c r="Q760" s="81"/>
      <c r="R760" s="81"/>
      <c r="S760" s="81"/>
      <c r="T760" s="81"/>
      <c r="U760" s="81"/>
      <c r="V760" s="97"/>
      <c r="W760" s="97">
        <v>66215</v>
      </c>
      <c r="X760" s="97"/>
      <c r="Y760" s="14"/>
      <c r="Z760" s="12"/>
      <c r="AA760" s="11"/>
      <c r="AB760" s="12"/>
      <c r="AC760" s="12"/>
    </row>
    <row r="761" spans="1:29" ht="12.75" customHeight="1">
      <c r="A761" s="96">
        <f t="shared" si="161"/>
        <v>583</v>
      </c>
      <c r="B761" s="13" t="s">
        <v>28</v>
      </c>
      <c r="C761" s="97">
        <f t="shared" si="162"/>
        <v>92015</v>
      </c>
      <c r="D761" s="86">
        <f t="shared" si="163"/>
        <v>0</v>
      </c>
      <c r="E761" s="81"/>
      <c r="F761" s="81"/>
      <c r="G761" s="81"/>
      <c r="H761" s="81"/>
      <c r="I761" s="81"/>
      <c r="J761" s="81"/>
      <c r="K761" s="81"/>
      <c r="L761" s="86"/>
      <c r="M761" s="97"/>
      <c r="N761" s="81"/>
      <c r="O761" s="81"/>
      <c r="P761" s="81"/>
      <c r="Q761" s="81"/>
      <c r="R761" s="81"/>
      <c r="S761" s="81"/>
      <c r="T761" s="81"/>
      <c r="U761" s="81"/>
      <c r="V761" s="97"/>
      <c r="W761" s="97">
        <v>92015</v>
      </c>
      <c r="X761" s="97"/>
      <c r="Y761" s="14"/>
      <c r="Z761" s="12"/>
      <c r="AA761" s="11"/>
      <c r="AB761" s="12"/>
      <c r="AC761" s="12"/>
    </row>
    <row r="762" spans="1:29" ht="12.75" customHeight="1">
      <c r="A762" s="96">
        <f t="shared" si="161"/>
        <v>584</v>
      </c>
      <c r="B762" s="13" t="s">
        <v>29</v>
      </c>
      <c r="C762" s="97">
        <f t="shared" si="162"/>
        <v>104656</v>
      </c>
      <c r="D762" s="86">
        <f t="shared" si="163"/>
        <v>0</v>
      </c>
      <c r="E762" s="81"/>
      <c r="F762" s="81"/>
      <c r="G762" s="81"/>
      <c r="H762" s="81"/>
      <c r="I762" s="81"/>
      <c r="J762" s="81"/>
      <c r="K762" s="81"/>
      <c r="L762" s="86"/>
      <c r="M762" s="97"/>
      <c r="N762" s="81"/>
      <c r="O762" s="81"/>
      <c r="P762" s="81"/>
      <c r="Q762" s="81"/>
      <c r="R762" s="81"/>
      <c r="S762" s="81"/>
      <c r="T762" s="81"/>
      <c r="U762" s="81"/>
      <c r="V762" s="97"/>
      <c r="W762" s="97">
        <v>104656</v>
      </c>
      <c r="X762" s="97"/>
      <c r="Y762" s="14"/>
      <c r="Z762" s="12"/>
      <c r="AA762" s="11"/>
      <c r="AB762" s="12"/>
      <c r="AC762" s="12"/>
    </row>
    <row r="763" spans="1:29" ht="12.75" customHeight="1">
      <c r="A763" s="96">
        <f t="shared" si="161"/>
        <v>585</v>
      </c>
      <c r="B763" s="13" t="s">
        <v>30</v>
      </c>
      <c r="C763" s="97">
        <f t="shared" si="162"/>
        <v>72305</v>
      </c>
      <c r="D763" s="86">
        <f t="shared" si="163"/>
        <v>0</v>
      </c>
      <c r="E763" s="81"/>
      <c r="F763" s="81"/>
      <c r="G763" s="81"/>
      <c r="H763" s="81"/>
      <c r="I763" s="81"/>
      <c r="J763" s="81"/>
      <c r="K763" s="81"/>
      <c r="L763" s="86"/>
      <c r="M763" s="97"/>
      <c r="N763" s="81"/>
      <c r="O763" s="81"/>
      <c r="P763" s="81"/>
      <c r="Q763" s="81"/>
      <c r="R763" s="81"/>
      <c r="S763" s="81"/>
      <c r="T763" s="81"/>
      <c r="U763" s="81"/>
      <c r="V763" s="97"/>
      <c r="W763" s="97">
        <v>72305</v>
      </c>
      <c r="X763" s="97"/>
      <c r="Y763" s="14"/>
      <c r="Z763" s="12"/>
      <c r="AA763" s="11"/>
      <c r="AB763" s="12"/>
      <c r="AC763" s="12"/>
    </row>
    <row r="764" spans="1:29" ht="12.75" customHeight="1">
      <c r="A764" s="96">
        <f t="shared" si="161"/>
        <v>586</v>
      </c>
      <c r="B764" s="13" t="s">
        <v>828</v>
      </c>
      <c r="C764" s="97">
        <f t="shared" si="162"/>
        <v>1626636</v>
      </c>
      <c r="D764" s="86">
        <f t="shared" si="163"/>
        <v>0</v>
      </c>
      <c r="E764" s="81"/>
      <c r="F764" s="81"/>
      <c r="G764" s="81"/>
      <c r="H764" s="81"/>
      <c r="I764" s="81"/>
      <c r="J764" s="81"/>
      <c r="K764" s="81"/>
      <c r="L764" s="86">
        <v>366</v>
      </c>
      <c r="M764" s="97">
        <v>1523623</v>
      </c>
      <c r="N764" s="81"/>
      <c r="O764" s="81"/>
      <c r="P764" s="81"/>
      <c r="Q764" s="81"/>
      <c r="R764" s="81"/>
      <c r="S764" s="81"/>
      <c r="T764" s="81"/>
      <c r="U764" s="81"/>
      <c r="V764" s="97"/>
      <c r="W764" s="97">
        <v>103013</v>
      </c>
      <c r="X764" s="97"/>
      <c r="Y764" s="14"/>
      <c r="Z764" s="12"/>
      <c r="AA764" s="11"/>
      <c r="AB764" s="12"/>
      <c r="AC764" s="12"/>
    </row>
    <row r="765" spans="1:29" ht="12.75" customHeight="1">
      <c r="A765" s="96">
        <f t="shared" si="161"/>
        <v>587</v>
      </c>
      <c r="B765" s="13" t="s">
        <v>829</v>
      </c>
      <c r="C765" s="97">
        <f t="shared" si="162"/>
        <v>68136</v>
      </c>
      <c r="D765" s="86">
        <f t="shared" si="163"/>
        <v>0</v>
      </c>
      <c r="E765" s="81"/>
      <c r="F765" s="81"/>
      <c r="G765" s="81"/>
      <c r="H765" s="81"/>
      <c r="I765" s="81"/>
      <c r="J765" s="81"/>
      <c r="K765" s="81"/>
      <c r="L765" s="86"/>
      <c r="M765" s="97"/>
      <c r="N765" s="81"/>
      <c r="O765" s="81"/>
      <c r="P765" s="81"/>
      <c r="Q765" s="81"/>
      <c r="R765" s="81"/>
      <c r="S765" s="81"/>
      <c r="T765" s="81"/>
      <c r="U765" s="81"/>
      <c r="V765" s="97"/>
      <c r="W765" s="97">
        <v>68136</v>
      </c>
      <c r="X765" s="97"/>
      <c r="Y765" s="14"/>
      <c r="Z765" s="12"/>
      <c r="AA765" s="11"/>
      <c r="AB765" s="12"/>
      <c r="AC765" s="12"/>
    </row>
    <row r="766" spans="1:29" ht="12.75" customHeight="1">
      <c r="A766" s="96">
        <f t="shared" si="161"/>
        <v>588</v>
      </c>
      <c r="B766" s="13" t="s">
        <v>830</v>
      </c>
      <c r="C766" s="97">
        <f t="shared" si="162"/>
        <v>833617</v>
      </c>
      <c r="D766" s="86">
        <f t="shared" si="163"/>
        <v>0</v>
      </c>
      <c r="E766" s="81"/>
      <c r="F766" s="81"/>
      <c r="G766" s="81"/>
      <c r="H766" s="81"/>
      <c r="I766" s="81"/>
      <c r="J766" s="81"/>
      <c r="K766" s="81"/>
      <c r="L766" s="86">
        <v>548.5</v>
      </c>
      <c r="M766" s="97">
        <v>780000</v>
      </c>
      <c r="N766" s="81"/>
      <c r="O766" s="81"/>
      <c r="P766" s="81"/>
      <c r="Q766" s="81"/>
      <c r="R766" s="81"/>
      <c r="S766" s="81"/>
      <c r="T766" s="81"/>
      <c r="U766" s="81"/>
      <c r="V766" s="97"/>
      <c r="W766" s="97">
        <v>53617</v>
      </c>
      <c r="X766" s="97"/>
      <c r="Y766" s="14"/>
      <c r="Z766" s="12"/>
      <c r="AA766" s="11"/>
      <c r="AB766" s="12"/>
      <c r="AC766" s="12"/>
    </row>
    <row r="767" spans="1:29" ht="12.75" customHeight="1">
      <c r="A767" s="96">
        <f t="shared" si="161"/>
        <v>589</v>
      </c>
      <c r="B767" s="13" t="s">
        <v>831</v>
      </c>
      <c r="C767" s="97">
        <f t="shared" si="162"/>
        <v>472924</v>
      </c>
      <c r="D767" s="86">
        <f t="shared" si="163"/>
        <v>0</v>
      </c>
      <c r="E767" s="81"/>
      <c r="F767" s="81"/>
      <c r="G767" s="81"/>
      <c r="H767" s="81"/>
      <c r="I767" s="81"/>
      <c r="J767" s="81"/>
      <c r="K767" s="81"/>
      <c r="L767" s="86">
        <v>342</v>
      </c>
      <c r="M767" s="97">
        <v>430000</v>
      </c>
      <c r="N767" s="81"/>
      <c r="O767" s="81"/>
      <c r="P767" s="81"/>
      <c r="Q767" s="81"/>
      <c r="R767" s="81"/>
      <c r="S767" s="81"/>
      <c r="T767" s="81"/>
      <c r="U767" s="81"/>
      <c r="V767" s="97"/>
      <c r="W767" s="97">
        <v>42924</v>
      </c>
      <c r="X767" s="97"/>
      <c r="Y767" s="14"/>
      <c r="Z767" s="12"/>
      <c r="AA767" s="11"/>
      <c r="AB767" s="12"/>
      <c r="AC767" s="12"/>
    </row>
    <row r="768" spans="1:29" ht="12.75" customHeight="1">
      <c r="A768" s="96">
        <f t="shared" si="161"/>
        <v>590</v>
      </c>
      <c r="B768" s="13" t="s">
        <v>31</v>
      </c>
      <c r="C768" s="97">
        <f t="shared" si="162"/>
        <v>108143</v>
      </c>
      <c r="D768" s="86">
        <f t="shared" si="163"/>
        <v>0</v>
      </c>
      <c r="E768" s="81"/>
      <c r="F768" s="81"/>
      <c r="G768" s="81"/>
      <c r="H768" s="81"/>
      <c r="I768" s="81"/>
      <c r="J768" s="81"/>
      <c r="K768" s="81"/>
      <c r="L768" s="86"/>
      <c r="M768" s="97"/>
      <c r="N768" s="81"/>
      <c r="O768" s="81"/>
      <c r="P768" s="81"/>
      <c r="Q768" s="81"/>
      <c r="R768" s="81"/>
      <c r="S768" s="81"/>
      <c r="T768" s="81"/>
      <c r="U768" s="81"/>
      <c r="V768" s="97"/>
      <c r="W768" s="97">
        <v>108143</v>
      </c>
      <c r="X768" s="97"/>
      <c r="Y768" s="14"/>
      <c r="Z768" s="12"/>
      <c r="AA768" s="11"/>
      <c r="AB768" s="12"/>
      <c r="AC768" s="12"/>
    </row>
    <row r="769" spans="1:29" ht="12.75" customHeight="1">
      <c r="A769" s="96">
        <f t="shared" si="161"/>
        <v>591</v>
      </c>
      <c r="B769" s="13" t="s">
        <v>32</v>
      </c>
      <c r="C769" s="97">
        <f t="shared" si="162"/>
        <v>70426</v>
      </c>
      <c r="D769" s="86">
        <f t="shared" si="163"/>
        <v>0</v>
      </c>
      <c r="E769" s="81"/>
      <c r="F769" s="81"/>
      <c r="G769" s="81"/>
      <c r="H769" s="81"/>
      <c r="I769" s="81"/>
      <c r="J769" s="81"/>
      <c r="K769" s="81"/>
      <c r="L769" s="86"/>
      <c r="M769" s="97"/>
      <c r="N769" s="81"/>
      <c r="O769" s="81"/>
      <c r="P769" s="81"/>
      <c r="Q769" s="81"/>
      <c r="R769" s="81"/>
      <c r="S769" s="81"/>
      <c r="T769" s="81"/>
      <c r="U769" s="81"/>
      <c r="V769" s="97"/>
      <c r="W769" s="97">
        <v>70426</v>
      </c>
      <c r="X769" s="97"/>
      <c r="Y769" s="14"/>
      <c r="Z769" s="12"/>
      <c r="AA769" s="11"/>
      <c r="AB769" s="12"/>
      <c r="AC769" s="12"/>
    </row>
    <row r="770" spans="1:29" ht="12.75" customHeight="1">
      <c r="A770" s="96">
        <f t="shared" si="161"/>
        <v>592</v>
      </c>
      <c r="B770" s="13" t="s">
        <v>34</v>
      </c>
      <c r="C770" s="97">
        <f>D770+K770+M770+O770+Q770+S770+U770+V770+W770+X770</f>
        <v>57374</v>
      </c>
      <c r="D770" s="86">
        <f>E770+F770+G770+H770+I770</f>
        <v>0</v>
      </c>
      <c r="E770" s="81"/>
      <c r="F770" s="81"/>
      <c r="G770" s="81"/>
      <c r="H770" s="81"/>
      <c r="I770" s="81"/>
      <c r="J770" s="81"/>
      <c r="K770" s="81"/>
      <c r="L770" s="86"/>
      <c r="M770" s="97"/>
      <c r="N770" s="81"/>
      <c r="O770" s="81"/>
      <c r="P770" s="81"/>
      <c r="Q770" s="81"/>
      <c r="R770" s="81"/>
      <c r="S770" s="81"/>
      <c r="T770" s="81"/>
      <c r="U770" s="81"/>
      <c r="V770" s="97"/>
      <c r="W770" s="97">
        <v>57374</v>
      </c>
      <c r="X770" s="97"/>
      <c r="Y770" s="14"/>
      <c r="Z770" s="12"/>
      <c r="AA770" s="11"/>
      <c r="AB770" s="12"/>
      <c r="AC770" s="12"/>
    </row>
    <row r="771" spans="1:29" ht="12.75" customHeight="1">
      <c r="A771" s="96">
        <f t="shared" si="161"/>
        <v>593</v>
      </c>
      <c r="B771" s="13" t="s">
        <v>35</v>
      </c>
      <c r="C771" s="97">
        <f>D771+K771+M771+O771+Q771+S771+U771+V771+W771+X771</f>
        <v>57248</v>
      </c>
      <c r="D771" s="86">
        <f>E771+F771+G771+H771+I771</f>
        <v>0</v>
      </c>
      <c r="E771" s="81"/>
      <c r="F771" s="81"/>
      <c r="G771" s="81"/>
      <c r="H771" s="81"/>
      <c r="I771" s="81"/>
      <c r="J771" s="81"/>
      <c r="K771" s="81"/>
      <c r="L771" s="86"/>
      <c r="M771" s="97"/>
      <c r="N771" s="81"/>
      <c r="O771" s="81"/>
      <c r="P771" s="81"/>
      <c r="Q771" s="81"/>
      <c r="R771" s="81"/>
      <c r="S771" s="81"/>
      <c r="T771" s="81"/>
      <c r="U771" s="81"/>
      <c r="V771" s="97"/>
      <c r="W771" s="97">
        <v>57248</v>
      </c>
      <c r="X771" s="97"/>
      <c r="Y771" s="14"/>
      <c r="Z771" s="12"/>
      <c r="AA771" s="11"/>
      <c r="AB771" s="12"/>
      <c r="AC771" s="12"/>
    </row>
    <row r="772" spans="1:29" ht="12.75" customHeight="1">
      <c r="A772" s="96">
        <f t="shared" si="161"/>
        <v>594</v>
      </c>
      <c r="B772" s="13" t="s">
        <v>33</v>
      </c>
      <c r="C772" s="97">
        <f t="shared" si="162"/>
        <v>69113</v>
      </c>
      <c r="D772" s="86">
        <f t="shared" si="163"/>
        <v>0</v>
      </c>
      <c r="E772" s="81"/>
      <c r="F772" s="81"/>
      <c r="G772" s="81"/>
      <c r="H772" s="81"/>
      <c r="I772" s="81"/>
      <c r="J772" s="81"/>
      <c r="K772" s="81"/>
      <c r="L772" s="86"/>
      <c r="M772" s="97"/>
      <c r="N772" s="81"/>
      <c r="O772" s="81"/>
      <c r="P772" s="81"/>
      <c r="Q772" s="81"/>
      <c r="R772" s="81"/>
      <c r="S772" s="81"/>
      <c r="T772" s="81"/>
      <c r="U772" s="81"/>
      <c r="V772" s="97"/>
      <c r="W772" s="97">
        <v>69113</v>
      </c>
      <c r="X772" s="97"/>
      <c r="Y772" s="14"/>
      <c r="Z772" s="12"/>
      <c r="AA772" s="11"/>
      <c r="AB772" s="12"/>
      <c r="AC772" s="12"/>
    </row>
    <row r="773" spans="1:29" ht="12.75" customHeight="1">
      <c r="A773" s="96">
        <f t="shared" si="161"/>
        <v>595</v>
      </c>
      <c r="B773" s="13" t="s">
        <v>36</v>
      </c>
      <c r="C773" s="97">
        <f>D773+K773+M773+O773+Q773+S773+U773+V773+W773+X773</f>
        <v>73730</v>
      </c>
      <c r="D773" s="86">
        <f>E773+F773+G773+H773+I773</f>
        <v>0</v>
      </c>
      <c r="E773" s="81"/>
      <c r="F773" s="81"/>
      <c r="G773" s="81"/>
      <c r="H773" s="81"/>
      <c r="I773" s="81"/>
      <c r="J773" s="81"/>
      <c r="K773" s="81"/>
      <c r="L773" s="86"/>
      <c r="M773" s="97"/>
      <c r="N773" s="81"/>
      <c r="O773" s="81"/>
      <c r="P773" s="81"/>
      <c r="Q773" s="81"/>
      <c r="R773" s="81"/>
      <c r="S773" s="81"/>
      <c r="T773" s="81"/>
      <c r="U773" s="81"/>
      <c r="V773" s="97"/>
      <c r="W773" s="97">
        <v>73730</v>
      </c>
      <c r="X773" s="97"/>
      <c r="Y773" s="14"/>
      <c r="Z773" s="12"/>
      <c r="AA773" s="11"/>
      <c r="AB773" s="12"/>
      <c r="AC773" s="12"/>
    </row>
    <row r="774" spans="1:29" ht="12.75" customHeight="1">
      <c r="A774" s="96">
        <f t="shared" si="161"/>
        <v>596</v>
      </c>
      <c r="B774" s="13" t="s">
        <v>37</v>
      </c>
      <c r="C774" s="97">
        <f t="shared" si="162"/>
        <v>106876</v>
      </c>
      <c r="D774" s="86">
        <f t="shared" si="163"/>
        <v>0</v>
      </c>
      <c r="E774" s="81"/>
      <c r="F774" s="81"/>
      <c r="G774" s="81"/>
      <c r="H774" s="81"/>
      <c r="I774" s="81"/>
      <c r="J774" s="81"/>
      <c r="K774" s="81"/>
      <c r="L774" s="86"/>
      <c r="M774" s="97"/>
      <c r="N774" s="81"/>
      <c r="O774" s="81"/>
      <c r="P774" s="81"/>
      <c r="Q774" s="81"/>
      <c r="R774" s="81"/>
      <c r="S774" s="81"/>
      <c r="T774" s="81"/>
      <c r="U774" s="81"/>
      <c r="V774" s="97"/>
      <c r="W774" s="97">
        <v>106876</v>
      </c>
      <c r="X774" s="97"/>
      <c r="Y774" s="14"/>
      <c r="Z774" s="12"/>
      <c r="AA774" s="11"/>
      <c r="AB774" s="12"/>
      <c r="AC774" s="12"/>
    </row>
    <row r="775" spans="1:29" ht="12.75" customHeight="1">
      <c r="A775" s="96">
        <f t="shared" si="161"/>
        <v>597</v>
      </c>
      <c r="B775" s="13" t="s">
        <v>50</v>
      </c>
      <c r="C775" s="97">
        <f>D775+K775+M775+O775+Q775+S775+U775+V775+W775+X775</f>
        <v>65595</v>
      </c>
      <c r="D775" s="86">
        <f>E775+F775+G775+H775+I775</f>
        <v>0</v>
      </c>
      <c r="E775" s="81"/>
      <c r="F775" s="81"/>
      <c r="G775" s="81"/>
      <c r="H775" s="81"/>
      <c r="I775" s="81"/>
      <c r="J775" s="81"/>
      <c r="K775" s="81"/>
      <c r="L775" s="86"/>
      <c r="M775" s="97"/>
      <c r="N775" s="81"/>
      <c r="O775" s="81"/>
      <c r="P775" s="81"/>
      <c r="Q775" s="81"/>
      <c r="R775" s="81"/>
      <c r="S775" s="81"/>
      <c r="T775" s="81"/>
      <c r="U775" s="81"/>
      <c r="V775" s="97"/>
      <c r="W775" s="97">
        <v>65595</v>
      </c>
      <c r="X775" s="97"/>
      <c r="Y775" s="14"/>
      <c r="Z775" s="12"/>
      <c r="AA775" s="11"/>
      <c r="AB775" s="12"/>
      <c r="AC775" s="12"/>
    </row>
    <row r="776" spans="1:29" ht="12.75" customHeight="1">
      <c r="A776" s="96">
        <f t="shared" si="161"/>
        <v>598</v>
      </c>
      <c r="B776" s="13" t="s">
        <v>51</v>
      </c>
      <c r="C776" s="97">
        <f>D776+K776+M776+O776+Q776+S776+U776+V776+W776+X776</f>
        <v>79161</v>
      </c>
      <c r="D776" s="86">
        <f>E776+F776+G776+H776+I776</f>
        <v>0</v>
      </c>
      <c r="E776" s="81"/>
      <c r="F776" s="81"/>
      <c r="G776" s="81"/>
      <c r="H776" s="81"/>
      <c r="I776" s="81"/>
      <c r="J776" s="81"/>
      <c r="K776" s="81"/>
      <c r="L776" s="86"/>
      <c r="M776" s="97"/>
      <c r="N776" s="81"/>
      <c r="O776" s="81"/>
      <c r="P776" s="81"/>
      <c r="Q776" s="81"/>
      <c r="R776" s="81"/>
      <c r="S776" s="81"/>
      <c r="T776" s="81"/>
      <c r="U776" s="81"/>
      <c r="V776" s="97"/>
      <c r="W776" s="97">
        <v>79161</v>
      </c>
      <c r="X776" s="97"/>
      <c r="Y776" s="14"/>
      <c r="Z776" s="12"/>
      <c r="AA776" s="11"/>
      <c r="AB776" s="12"/>
      <c r="AC776" s="12"/>
    </row>
    <row r="777" spans="1:29" ht="12.75" customHeight="1">
      <c r="A777" s="96">
        <f t="shared" si="161"/>
        <v>599</v>
      </c>
      <c r="B777" s="13" t="s">
        <v>38</v>
      </c>
      <c r="C777" s="97">
        <f t="shared" si="162"/>
        <v>55869</v>
      </c>
      <c r="D777" s="86">
        <f t="shared" si="163"/>
        <v>0</v>
      </c>
      <c r="E777" s="81"/>
      <c r="F777" s="81"/>
      <c r="G777" s="81"/>
      <c r="H777" s="81"/>
      <c r="I777" s="81"/>
      <c r="J777" s="81"/>
      <c r="K777" s="81"/>
      <c r="L777" s="86"/>
      <c r="M777" s="97"/>
      <c r="N777" s="81"/>
      <c r="O777" s="81"/>
      <c r="P777" s="81"/>
      <c r="Q777" s="81"/>
      <c r="R777" s="81"/>
      <c r="S777" s="81"/>
      <c r="T777" s="81"/>
      <c r="U777" s="81"/>
      <c r="V777" s="97"/>
      <c r="W777" s="97">
        <v>55869</v>
      </c>
      <c r="X777" s="97"/>
      <c r="Y777" s="14"/>
      <c r="Z777" s="12"/>
      <c r="AA777" s="11"/>
      <c r="AB777" s="12"/>
      <c r="AC777" s="12"/>
    </row>
    <row r="778" spans="1:29" ht="12.75" customHeight="1">
      <c r="A778" s="96">
        <f t="shared" si="161"/>
        <v>600</v>
      </c>
      <c r="B778" s="13" t="s">
        <v>39</v>
      </c>
      <c r="C778" s="97">
        <f t="shared" si="162"/>
        <v>72047</v>
      </c>
      <c r="D778" s="86">
        <f t="shared" si="163"/>
        <v>0</v>
      </c>
      <c r="E778" s="81"/>
      <c r="F778" s="81"/>
      <c r="G778" s="81"/>
      <c r="H778" s="81"/>
      <c r="I778" s="81"/>
      <c r="J778" s="81"/>
      <c r="K778" s="81"/>
      <c r="L778" s="86"/>
      <c r="M778" s="97"/>
      <c r="N778" s="81"/>
      <c r="O778" s="81"/>
      <c r="P778" s="81"/>
      <c r="Q778" s="81"/>
      <c r="R778" s="81"/>
      <c r="S778" s="81"/>
      <c r="T778" s="81"/>
      <c r="U778" s="81"/>
      <c r="V778" s="97"/>
      <c r="W778" s="97">
        <v>72047</v>
      </c>
      <c r="X778" s="97"/>
      <c r="Y778" s="14"/>
      <c r="Z778" s="12"/>
      <c r="AA778" s="11"/>
      <c r="AB778" s="12"/>
      <c r="AC778" s="12"/>
    </row>
    <row r="779" spans="1:29" ht="12.75" customHeight="1">
      <c r="A779" s="96">
        <f t="shared" si="161"/>
        <v>601</v>
      </c>
      <c r="B779" s="13" t="s">
        <v>40</v>
      </c>
      <c r="C779" s="97">
        <f t="shared" si="162"/>
        <v>84954</v>
      </c>
      <c r="D779" s="86">
        <f t="shared" si="163"/>
        <v>0</v>
      </c>
      <c r="E779" s="81"/>
      <c r="F779" s="81"/>
      <c r="G779" s="81"/>
      <c r="H779" s="81"/>
      <c r="I779" s="81"/>
      <c r="J779" s="81"/>
      <c r="K779" s="81"/>
      <c r="L779" s="86"/>
      <c r="M779" s="97"/>
      <c r="N779" s="81"/>
      <c r="O779" s="81"/>
      <c r="P779" s="81"/>
      <c r="Q779" s="81"/>
      <c r="R779" s="81"/>
      <c r="S779" s="81"/>
      <c r="T779" s="81"/>
      <c r="U779" s="81"/>
      <c r="V779" s="97"/>
      <c r="W779" s="97">
        <v>84954</v>
      </c>
      <c r="X779" s="97"/>
      <c r="Y779" s="14"/>
      <c r="Z779" s="12"/>
      <c r="AA779" s="11"/>
      <c r="AB779" s="12"/>
      <c r="AC779" s="12"/>
    </row>
    <row r="780" spans="1:29" ht="12.75" customHeight="1">
      <c r="A780" s="96">
        <f t="shared" si="161"/>
        <v>602</v>
      </c>
      <c r="B780" s="13" t="s">
        <v>41</v>
      </c>
      <c r="C780" s="97">
        <f t="shared" si="162"/>
        <v>104370</v>
      </c>
      <c r="D780" s="86">
        <f t="shared" si="163"/>
        <v>0</v>
      </c>
      <c r="E780" s="81"/>
      <c r="F780" s="81"/>
      <c r="G780" s="81"/>
      <c r="H780" s="81"/>
      <c r="I780" s="81"/>
      <c r="J780" s="81"/>
      <c r="K780" s="81"/>
      <c r="L780" s="86"/>
      <c r="M780" s="97"/>
      <c r="N780" s="81"/>
      <c r="O780" s="81"/>
      <c r="P780" s="81"/>
      <c r="Q780" s="81"/>
      <c r="R780" s="81"/>
      <c r="S780" s="81"/>
      <c r="T780" s="81"/>
      <c r="U780" s="81"/>
      <c r="V780" s="97"/>
      <c r="W780" s="97">
        <v>104370</v>
      </c>
      <c r="X780" s="97"/>
      <c r="Y780" s="14"/>
      <c r="Z780" s="12"/>
      <c r="AA780" s="11"/>
      <c r="AB780" s="12"/>
      <c r="AC780" s="12"/>
    </row>
    <row r="781" spans="1:29" ht="12.75" customHeight="1">
      <c r="A781" s="96">
        <f t="shared" si="161"/>
        <v>603</v>
      </c>
      <c r="B781" s="13" t="s">
        <v>42</v>
      </c>
      <c r="C781" s="97">
        <f t="shared" si="162"/>
        <v>108579</v>
      </c>
      <c r="D781" s="86">
        <f t="shared" si="163"/>
        <v>0</v>
      </c>
      <c r="E781" s="81"/>
      <c r="F781" s="81"/>
      <c r="G781" s="81"/>
      <c r="H781" s="81"/>
      <c r="I781" s="81"/>
      <c r="J781" s="81"/>
      <c r="K781" s="81"/>
      <c r="L781" s="86"/>
      <c r="M781" s="97"/>
      <c r="N781" s="81"/>
      <c r="O781" s="81"/>
      <c r="P781" s="81"/>
      <c r="Q781" s="81"/>
      <c r="R781" s="81"/>
      <c r="S781" s="81"/>
      <c r="T781" s="81"/>
      <c r="U781" s="81"/>
      <c r="V781" s="97"/>
      <c r="W781" s="97">
        <v>108579</v>
      </c>
      <c r="X781" s="97"/>
      <c r="Y781" s="14"/>
      <c r="Z781" s="12"/>
      <c r="AA781" s="11"/>
      <c r="AB781" s="12"/>
      <c r="AC781" s="12"/>
    </row>
    <row r="782" spans="1:29" ht="12.75" customHeight="1">
      <c r="A782" s="96">
        <f t="shared" si="161"/>
        <v>604</v>
      </c>
      <c r="B782" s="13" t="s">
        <v>43</v>
      </c>
      <c r="C782" s="97">
        <f t="shared" si="162"/>
        <v>108211</v>
      </c>
      <c r="D782" s="86">
        <f t="shared" si="163"/>
        <v>0</v>
      </c>
      <c r="E782" s="81"/>
      <c r="F782" s="81"/>
      <c r="G782" s="81"/>
      <c r="H782" s="81"/>
      <c r="I782" s="81"/>
      <c r="J782" s="81"/>
      <c r="K782" s="81"/>
      <c r="L782" s="86"/>
      <c r="M782" s="97"/>
      <c r="N782" s="81"/>
      <c r="O782" s="81"/>
      <c r="P782" s="81"/>
      <c r="Q782" s="81"/>
      <c r="R782" s="81"/>
      <c r="S782" s="81"/>
      <c r="T782" s="81"/>
      <c r="U782" s="81"/>
      <c r="V782" s="97"/>
      <c r="W782" s="97">
        <v>108211</v>
      </c>
      <c r="X782" s="97"/>
      <c r="Y782" s="14"/>
      <c r="Z782" s="12"/>
      <c r="AA782" s="11"/>
      <c r="AB782" s="12"/>
      <c r="AC782" s="12"/>
    </row>
    <row r="783" spans="1:29" ht="12.75" customHeight="1">
      <c r="A783" s="96">
        <f t="shared" si="161"/>
        <v>605</v>
      </c>
      <c r="B783" s="13" t="s">
        <v>44</v>
      </c>
      <c r="C783" s="97">
        <f t="shared" si="162"/>
        <v>81675</v>
      </c>
      <c r="D783" s="86">
        <f t="shared" si="163"/>
        <v>0</v>
      </c>
      <c r="E783" s="81"/>
      <c r="F783" s="81"/>
      <c r="G783" s="81"/>
      <c r="H783" s="81"/>
      <c r="I783" s="81"/>
      <c r="J783" s="81"/>
      <c r="K783" s="81"/>
      <c r="L783" s="86"/>
      <c r="M783" s="97"/>
      <c r="N783" s="81"/>
      <c r="O783" s="81"/>
      <c r="P783" s="81"/>
      <c r="Q783" s="81"/>
      <c r="R783" s="81"/>
      <c r="S783" s="81"/>
      <c r="T783" s="81"/>
      <c r="U783" s="81"/>
      <c r="V783" s="97"/>
      <c r="W783" s="97">
        <v>81675</v>
      </c>
      <c r="X783" s="97"/>
      <c r="Y783" s="14"/>
      <c r="Z783" s="12"/>
      <c r="AA783" s="11"/>
      <c r="AB783" s="12"/>
      <c r="AC783" s="12"/>
    </row>
    <row r="784" spans="1:29" ht="12.75" customHeight="1">
      <c r="A784" s="96">
        <f t="shared" si="161"/>
        <v>606</v>
      </c>
      <c r="B784" s="13" t="s">
        <v>45</v>
      </c>
      <c r="C784" s="97">
        <f aca="true" t="shared" si="164" ref="C784:C803">D784+K784+M784+O784+Q784+S784+U784+V784+W784+X784</f>
        <v>97944</v>
      </c>
      <c r="D784" s="86">
        <f aca="true" t="shared" si="165" ref="D784:D803">E784+F784+G784+H784+I784</f>
        <v>0</v>
      </c>
      <c r="E784" s="81"/>
      <c r="F784" s="81"/>
      <c r="G784" s="81"/>
      <c r="H784" s="81"/>
      <c r="I784" s="81"/>
      <c r="J784" s="81"/>
      <c r="K784" s="81"/>
      <c r="L784" s="86"/>
      <c r="M784" s="97"/>
      <c r="N784" s="81"/>
      <c r="O784" s="81"/>
      <c r="P784" s="81"/>
      <c r="Q784" s="81"/>
      <c r="R784" s="81"/>
      <c r="S784" s="81"/>
      <c r="T784" s="81"/>
      <c r="U784" s="81"/>
      <c r="V784" s="97"/>
      <c r="W784" s="97">
        <v>97944</v>
      </c>
      <c r="X784" s="97"/>
      <c r="Y784" s="14"/>
      <c r="Z784" s="12"/>
      <c r="AA784" s="11"/>
      <c r="AB784" s="12"/>
      <c r="AC784" s="12"/>
    </row>
    <row r="785" spans="1:29" ht="12.75" customHeight="1">
      <c r="A785" s="96">
        <f t="shared" si="161"/>
        <v>607</v>
      </c>
      <c r="B785" s="13" t="s">
        <v>46</v>
      </c>
      <c r="C785" s="97">
        <f t="shared" si="164"/>
        <v>105394</v>
      </c>
      <c r="D785" s="86">
        <f t="shared" si="165"/>
        <v>0</v>
      </c>
      <c r="E785" s="81"/>
      <c r="F785" s="81"/>
      <c r="G785" s="81"/>
      <c r="H785" s="81"/>
      <c r="I785" s="81"/>
      <c r="J785" s="81"/>
      <c r="K785" s="81"/>
      <c r="L785" s="86"/>
      <c r="M785" s="97"/>
      <c r="N785" s="81"/>
      <c r="O785" s="81"/>
      <c r="P785" s="81"/>
      <c r="Q785" s="81"/>
      <c r="R785" s="81"/>
      <c r="S785" s="81"/>
      <c r="T785" s="81"/>
      <c r="U785" s="81"/>
      <c r="V785" s="97"/>
      <c r="W785" s="97">
        <v>105394</v>
      </c>
      <c r="X785" s="97"/>
      <c r="Y785" s="14"/>
      <c r="Z785" s="12"/>
      <c r="AA785" s="11"/>
      <c r="AB785" s="12"/>
      <c r="AC785" s="12"/>
    </row>
    <row r="786" spans="1:29" ht="12.75" customHeight="1">
      <c r="A786" s="96">
        <f t="shared" si="161"/>
        <v>608</v>
      </c>
      <c r="B786" s="13" t="s">
        <v>832</v>
      </c>
      <c r="C786" s="97">
        <f t="shared" si="164"/>
        <v>1133251</v>
      </c>
      <c r="D786" s="86">
        <f t="shared" si="165"/>
        <v>0</v>
      </c>
      <c r="E786" s="81"/>
      <c r="F786" s="81"/>
      <c r="G786" s="81"/>
      <c r="H786" s="81"/>
      <c r="I786" s="81"/>
      <c r="J786" s="81"/>
      <c r="K786" s="81"/>
      <c r="L786" s="86">
        <v>247</v>
      </c>
      <c r="M786" s="97">
        <v>1053004</v>
      </c>
      <c r="N786" s="81"/>
      <c r="O786" s="81"/>
      <c r="P786" s="81"/>
      <c r="Q786" s="81"/>
      <c r="R786" s="81"/>
      <c r="S786" s="81"/>
      <c r="T786" s="81"/>
      <c r="U786" s="81"/>
      <c r="V786" s="97"/>
      <c r="W786" s="97">
        <v>80247</v>
      </c>
      <c r="X786" s="97"/>
      <c r="Y786" s="14"/>
      <c r="Z786" s="12"/>
      <c r="AA786" s="11"/>
      <c r="AB786" s="12"/>
      <c r="AC786" s="12"/>
    </row>
    <row r="787" spans="1:29" ht="12.75" customHeight="1">
      <c r="A787" s="96">
        <f t="shared" si="161"/>
        <v>609</v>
      </c>
      <c r="B787" s="13" t="s">
        <v>47</v>
      </c>
      <c r="C787" s="97">
        <f t="shared" si="164"/>
        <v>101745</v>
      </c>
      <c r="D787" s="86">
        <f t="shared" si="165"/>
        <v>0</v>
      </c>
      <c r="E787" s="81"/>
      <c r="F787" s="81"/>
      <c r="G787" s="81"/>
      <c r="H787" s="81"/>
      <c r="I787" s="81"/>
      <c r="J787" s="81"/>
      <c r="K787" s="81"/>
      <c r="L787" s="86"/>
      <c r="M787" s="97"/>
      <c r="N787" s="81"/>
      <c r="O787" s="81"/>
      <c r="P787" s="81"/>
      <c r="Q787" s="81"/>
      <c r="R787" s="81"/>
      <c r="S787" s="81"/>
      <c r="T787" s="81"/>
      <c r="U787" s="81"/>
      <c r="V787" s="97"/>
      <c r="W787" s="97">
        <v>101745</v>
      </c>
      <c r="X787" s="97"/>
      <c r="Y787" s="14"/>
      <c r="Z787" s="12"/>
      <c r="AA787" s="11"/>
      <c r="AB787" s="12"/>
      <c r="AC787" s="12"/>
    </row>
    <row r="788" spans="1:29" ht="12.75" customHeight="1">
      <c r="A788" s="96">
        <f t="shared" si="161"/>
        <v>610</v>
      </c>
      <c r="B788" s="13" t="s">
        <v>48</v>
      </c>
      <c r="C788" s="97">
        <f t="shared" si="164"/>
        <v>68525</v>
      </c>
      <c r="D788" s="86">
        <f t="shared" si="165"/>
        <v>0</v>
      </c>
      <c r="E788" s="81"/>
      <c r="F788" s="81"/>
      <c r="G788" s="81"/>
      <c r="H788" s="81"/>
      <c r="I788" s="81"/>
      <c r="J788" s="81"/>
      <c r="K788" s="81"/>
      <c r="L788" s="86"/>
      <c r="M788" s="97"/>
      <c r="N788" s="81"/>
      <c r="O788" s="81"/>
      <c r="P788" s="81"/>
      <c r="Q788" s="81"/>
      <c r="R788" s="81"/>
      <c r="S788" s="81"/>
      <c r="T788" s="81"/>
      <c r="U788" s="81"/>
      <c r="V788" s="97"/>
      <c r="W788" s="97">
        <v>68525</v>
      </c>
      <c r="X788" s="97"/>
      <c r="Y788" s="14"/>
      <c r="Z788" s="12"/>
      <c r="AA788" s="11"/>
      <c r="AB788" s="12"/>
      <c r="AC788" s="12"/>
    </row>
    <row r="789" spans="1:29" ht="14.25" customHeight="1">
      <c r="A789" s="96">
        <f t="shared" si="161"/>
        <v>611</v>
      </c>
      <c r="B789" s="13" t="s">
        <v>49</v>
      </c>
      <c r="C789" s="97">
        <f t="shared" si="164"/>
        <v>79161</v>
      </c>
      <c r="D789" s="86">
        <f t="shared" si="165"/>
        <v>0</v>
      </c>
      <c r="E789" s="81"/>
      <c r="F789" s="81"/>
      <c r="G789" s="81"/>
      <c r="H789" s="81"/>
      <c r="I789" s="81"/>
      <c r="J789" s="81"/>
      <c r="K789" s="81"/>
      <c r="L789" s="86"/>
      <c r="M789" s="97"/>
      <c r="N789" s="81"/>
      <c r="O789" s="81"/>
      <c r="P789" s="81"/>
      <c r="Q789" s="81"/>
      <c r="R789" s="81"/>
      <c r="S789" s="81"/>
      <c r="T789" s="81"/>
      <c r="U789" s="81"/>
      <c r="V789" s="97"/>
      <c r="W789" s="97">
        <v>79161</v>
      </c>
      <c r="X789" s="97"/>
      <c r="Y789" s="14"/>
      <c r="Z789" s="12"/>
      <c r="AA789" s="11"/>
      <c r="AB789" s="12"/>
      <c r="AC789" s="12"/>
    </row>
    <row r="790" spans="1:29" ht="12.75" customHeight="1">
      <c r="A790" s="96">
        <f t="shared" si="161"/>
        <v>612</v>
      </c>
      <c r="B790" s="13" t="s">
        <v>52</v>
      </c>
      <c r="C790" s="97">
        <f t="shared" si="164"/>
        <v>59674</v>
      </c>
      <c r="D790" s="86">
        <f t="shared" si="165"/>
        <v>0</v>
      </c>
      <c r="E790" s="81"/>
      <c r="F790" s="81"/>
      <c r="G790" s="81"/>
      <c r="H790" s="81"/>
      <c r="I790" s="81"/>
      <c r="J790" s="81"/>
      <c r="K790" s="81"/>
      <c r="L790" s="86"/>
      <c r="M790" s="97"/>
      <c r="N790" s="81"/>
      <c r="O790" s="81"/>
      <c r="P790" s="81"/>
      <c r="Q790" s="81"/>
      <c r="R790" s="81"/>
      <c r="S790" s="81"/>
      <c r="T790" s="81"/>
      <c r="U790" s="81"/>
      <c r="V790" s="97"/>
      <c r="W790" s="97">
        <v>59674</v>
      </c>
      <c r="X790" s="97"/>
      <c r="Y790" s="14"/>
      <c r="Z790" s="12"/>
      <c r="AA790" s="11"/>
      <c r="AB790" s="12"/>
      <c r="AC790" s="12"/>
    </row>
    <row r="791" spans="1:29" ht="12.75" customHeight="1">
      <c r="A791" s="96">
        <f t="shared" si="161"/>
        <v>613</v>
      </c>
      <c r="B791" s="13" t="s">
        <v>53</v>
      </c>
      <c r="C791" s="97">
        <f t="shared" si="164"/>
        <v>79870</v>
      </c>
      <c r="D791" s="86">
        <f t="shared" si="165"/>
        <v>0</v>
      </c>
      <c r="E791" s="81"/>
      <c r="F791" s="81"/>
      <c r="G791" s="81"/>
      <c r="H791" s="81"/>
      <c r="I791" s="81"/>
      <c r="J791" s="81"/>
      <c r="K791" s="81"/>
      <c r="L791" s="86"/>
      <c r="M791" s="97"/>
      <c r="N791" s="81"/>
      <c r="O791" s="81"/>
      <c r="P791" s="81"/>
      <c r="Q791" s="81"/>
      <c r="R791" s="81"/>
      <c r="S791" s="81"/>
      <c r="T791" s="81"/>
      <c r="U791" s="81"/>
      <c r="V791" s="97"/>
      <c r="W791" s="97">
        <v>79870</v>
      </c>
      <c r="X791" s="97"/>
      <c r="Y791" s="14"/>
      <c r="Z791" s="12"/>
      <c r="AA791" s="11"/>
      <c r="AB791" s="12"/>
      <c r="AC791" s="12"/>
    </row>
    <row r="792" spans="1:29" ht="12.75" customHeight="1">
      <c r="A792" s="96">
        <f t="shared" si="161"/>
        <v>614</v>
      </c>
      <c r="B792" s="13" t="s">
        <v>54</v>
      </c>
      <c r="C792" s="97">
        <f t="shared" si="164"/>
        <v>109173</v>
      </c>
      <c r="D792" s="86">
        <f t="shared" si="165"/>
        <v>0</v>
      </c>
      <c r="E792" s="81"/>
      <c r="F792" s="81"/>
      <c r="G792" s="81"/>
      <c r="H792" s="81"/>
      <c r="I792" s="81"/>
      <c r="J792" s="81"/>
      <c r="K792" s="81"/>
      <c r="L792" s="86"/>
      <c r="M792" s="97"/>
      <c r="N792" s="81"/>
      <c r="O792" s="81"/>
      <c r="P792" s="81"/>
      <c r="Q792" s="81"/>
      <c r="R792" s="81"/>
      <c r="S792" s="81"/>
      <c r="T792" s="81"/>
      <c r="U792" s="81"/>
      <c r="V792" s="97"/>
      <c r="W792" s="97">
        <v>109173</v>
      </c>
      <c r="X792" s="97"/>
      <c r="Y792" s="14"/>
      <c r="Z792" s="12"/>
      <c r="AA792" s="11"/>
      <c r="AB792" s="12"/>
      <c r="AC792" s="12"/>
    </row>
    <row r="793" spans="1:29" ht="12.75" customHeight="1">
      <c r="A793" s="96">
        <f t="shared" si="161"/>
        <v>615</v>
      </c>
      <c r="B793" s="13" t="s">
        <v>55</v>
      </c>
      <c r="C793" s="97">
        <f t="shared" si="164"/>
        <v>72247</v>
      </c>
      <c r="D793" s="86">
        <f t="shared" si="165"/>
        <v>0</v>
      </c>
      <c r="E793" s="81"/>
      <c r="F793" s="81"/>
      <c r="G793" s="81"/>
      <c r="H793" s="81"/>
      <c r="I793" s="81"/>
      <c r="J793" s="81"/>
      <c r="K793" s="81"/>
      <c r="L793" s="86"/>
      <c r="M793" s="97"/>
      <c r="N793" s="81"/>
      <c r="O793" s="81"/>
      <c r="P793" s="81"/>
      <c r="Q793" s="81"/>
      <c r="R793" s="81"/>
      <c r="S793" s="81"/>
      <c r="T793" s="81"/>
      <c r="U793" s="81"/>
      <c r="V793" s="97"/>
      <c r="W793" s="97">
        <v>72247</v>
      </c>
      <c r="X793" s="97"/>
      <c r="Y793" s="14"/>
      <c r="Z793" s="12"/>
      <c r="AA793" s="11"/>
      <c r="AB793" s="12"/>
      <c r="AC793" s="12"/>
    </row>
    <row r="794" spans="1:29" ht="12.75" customHeight="1">
      <c r="A794" s="96">
        <f t="shared" si="161"/>
        <v>616</v>
      </c>
      <c r="B794" s="13" t="s">
        <v>833</v>
      </c>
      <c r="C794" s="97">
        <f t="shared" si="164"/>
        <v>1890024</v>
      </c>
      <c r="D794" s="86">
        <f t="shared" si="165"/>
        <v>0</v>
      </c>
      <c r="E794" s="81"/>
      <c r="F794" s="81"/>
      <c r="G794" s="81"/>
      <c r="H794" s="81"/>
      <c r="I794" s="81"/>
      <c r="J794" s="81"/>
      <c r="K794" s="81"/>
      <c r="L794" s="86">
        <v>432</v>
      </c>
      <c r="M794" s="97">
        <v>1811029</v>
      </c>
      <c r="N794" s="81"/>
      <c r="O794" s="81"/>
      <c r="P794" s="81"/>
      <c r="Q794" s="81"/>
      <c r="R794" s="81"/>
      <c r="S794" s="81"/>
      <c r="T794" s="81"/>
      <c r="U794" s="81"/>
      <c r="V794" s="97"/>
      <c r="W794" s="97">
        <v>78995</v>
      </c>
      <c r="X794" s="97"/>
      <c r="Y794" s="14"/>
      <c r="Z794" s="12"/>
      <c r="AA794" s="11"/>
      <c r="AB794" s="12"/>
      <c r="AC794" s="12"/>
    </row>
    <row r="795" spans="1:29" ht="12.75" customHeight="1">
      <c r="A795" s="96">
        <f t="shared" si="161"/>
        <v>617</v>
      </c>
      <c r="B795" s="13" t="s">
        <v>834</v>
      </c>
      <c r="C795" s="97">
        <f t="shared" si="164"/>
        <v>82143</v>
      </c>
      <c r="D795" s="86">
        <f t="shared" si="165"/>
        <v>0</v>
      </c>
      <c r="E795" s="81"/>
      <c r="F795" s="81"/>
      <c r="G795" s="81"/>
      <c r="H795" s="81"/>
      <c r="I795" s="81"/>
      <c r="J795" s="81"/>
      <c r="K795" s="81"/>
      <c r="L795" s="86"/>
      <c r="M795" s="97"/>
      <c r="N795" s="81"/>
      <c r="O795" s="81"/>
      <c r="P795" s="81"/>
      <c r="Q795" s="81"/>
      <c r="R795" s="81"/>
      <c r="S795" s="81"/>
      <c r="T795" s="81"/>
      <c r="U795" s="81"/>
      <c r="V795" s="97"/>
      <c r="W795" s="97">
        <v>82143</v>
      </c>
      <c r="X795" s="97"/>
      <c r="Y795" s="14"/>
      <c r="Z795" s="12"/>
      <c r="AA795" s="11"/>
      <c r="AB795" s="12"/>
      <c r="AC795" s="12"/>
    </row>
    <row r="796" spans="1:29" ht="12.75" customHeight="1">
      <c r="A796" s="96">
        <f t="shared" si="161"/>
        <v>618</v>
      </c>
      <c r="B796" s="13" t="s">
        <v>835</v>
      </c>
      <c r="C796" s="97">
        <f t="shared" si="164"/>
        <v>62284</v>
      </c>
      <c r="D796" s="86">
        <f t="shared" si="165"/>
        <v>0</v>
      </c>
      <c r="E796" s="81"/>
      <c r="F796" s="81"/>
      <c r="G796" s="81"/>
      <c r="H796" s="81"/>
      <c r="I796" s="81"/>
      <c r="J796" s="81"/>
      <c r="K796" s="81"/>
      <c r="L796" s="86"/>
      <c r="M796" s="97"/>
      <c r="N796" s="81"/>
      <c r="O796" s="81"/>
      <c r="P796" s="81"/>
      <c r="Q796" s="81"/>
      <c r="R796" s="81"/>
      <c r="S796" s="81"/>
      <c r="T796" s="81"/>
      <c r="U796" s="81"/>
      <c r="V796" s="97"/>
      <c r="W796" s="97">
        <v>62284</v>
      </c>
      <c r="X796" s="97"/>
      <c r="Y796" s="14"/>
      <c r="Z796" s="12"/>
      <c r="AA796" s="11"/>
      <c r="AB796" s="12"/>
      <c r="AC796" s="12"/>
    </row>
    <row r="797" spans="1:29" ht="12.75" customHeight="1">
      <c r="A797" s="96">
        <f t="shared" si="161"/>
        <v>619</v>
      </c>
      <c r="B797" s="13" t="s">
        <v>56</v>
      </c>
      <c r="C797" s="97">
        <f t="shared" si="164"/>
        <v>109548</v>
      </c>
      <c r="D797" s="86">
        <f t="shared" si="165"/>
        <v>0</v>
      </c>
      <c r="E797" s="81"/>
      <c r="F797" s="81"/>
      <c r="G797" s="81"/>
      <c r="H797" s="81"/>
      <c r="I797" s="81"/>
      <c r="J797" s="81"/>
      <c r="K797" s="81"/>
      <c r="L797" s="86"/>
      <c r="M797" s="97"/>
      <c r="N797" s="81"/>
      <c r="O797" s="81"/>
      <c r="P797" s="81"/>
      <c r="Q797" s="81"/>
      <c r="R797" s="81"/>
      <c r="S797" s="81"/>
      <c r="T797" s="81"/>
      <c r="U797" s="81"/>
      <c r="V797" s="97"/>
      <c r="W797" s="97">
        <v>109548</v>
      </c>
      <c r="X797" s="97"/>
      <c r="Y797" s="14"/>
      <c r="Z797" s="12"/>
      <c r="AA797" s="11"/>
      <c r="AB797" s="12"/>
      <c r="AC797" s="12"/>
    </row>
    <row r="798" spans="1:29" ht="12.75" customHeight="1">
      <c r="A798" s="96">
        <f t="shared" si="161"/>
        <v>620</v>
      </c>
      <c r="B798" s="13" t="s">
        <v>57</v>
      </c>
      <c r="C798" s="97">
        <f t="shared" si="164"/>
        <v>78208</v>
      </c>
      <c r="D798" s="86">
        <f t="shared" si="165"/>
        <v>0</v>
      </c>
      <c r="E798" s="81"/>
      <c r="F798" s="81"/>
      <c r="G798" s="81"/>
      <c r="H798" s="81"/>
      <c r="I798" s="81"/>
      <c r="J798" s="81"/>
      <c r="K798" s="81"/>
      <c r="L798" s="86"/>
      <c r="M798" s="97"/>
      <c r="N798" s="81"/>
      <c r="O798" s="81"/>
      <c r="P798" s="81"/>
      <c r="Q798" s="81"/>
      <c r="R798" s="81"/>
      <c r="S798" s="81"/>
      <c r="T798" s="81"/>
      <c r="U798" s="81"/>
      <c r="V798" s="97"/>
      <c r="W798" s="97">
        <v>78208</v>
      </c>
      <c r="X798" s="97"/>
      <c r="Y798" s="14"/>
      <c r="Z798" s="12"/>
      <c r="AA798" s="11"/>
      <c r="AB798" s="12"/>
      <c r="AC798" s="12"/>
    </row>
    <row r="799" spans="1:29" ht="12.75" customHeight="1">
      <c r="A799" s="96">
        <f t="shared" si="161"/>
        <v>621</v>
      </c>
      <c r="B799" s="13" t="s">
        <v>838</v>
      </c>
      <c r="C799" s="97">
        <f>D799+K799+M799+O799+Q799+S799+U799+V799+W799+X799</f>
        <v>1656442</v>
      </c>
      <c r="D799" s="86">
        <f>E799+F799+G799+H799+I799</f>
        <v>0</v>
      </c>
      <c r="E799" s="81"/>
      <c r="F799" s="81"/>
      <c r="G799" s="81"/>
      <c r="H799" s="81"/>
      <c r="I799" s="81"/>
      <c r="J799" s="81"/>
      <c r="K799" s="81"/>
      <c r="L799" s="86">
        <v>380</v>
      </c>
      <c r="M799" s="86">
        <v>1656442</v>
      </c>
      <c r="N799" s="86"/>
      <c r="O799" s="86"/>
      <c r="P799" s="81"/>
      <c r="Q799" s="81"/>
      <c r="R799" s="81"/>
      <c r="S799" s="81"/>
      <c r="T799" s="81"/>
      <c r="U799" s="81"/>
      <c r="V799" s="97"/>
      <c r="W799" s="97"/>
      <c r="X799" s="97"/>
      <c r="Y799" s="14"/>
      <c r="Z799" s="12"/>
      <c r="AA799" s="11"/>
      <c r="AB799" s="12"/>
      <c r="AC799" s="12"/>
    </row>
    <row r="800" spans="1:29" ht="12.75" customHeight="1">
      <c r="A800" s="96">
        <f>A799+1</f>
        <v>622</v>
      </c>
      <c r="B800" s="13" t="s">
        <v>836</v>
      </c>
      <c r="C800" s="97">
        <f t="shared" si="164"/>
        <v>4542560</v>
      </c>
      <c r="D800" s="86">
        <f t="shared" si="165"/>
        <v>0</v>
      </c>
      <c r="E800" s="81"/>
      <c r="F800" s="81"/>
      <c r="G800" s="81"/>
      <c r="H800" s="81"/>
      <c r="I800" s="81"/>
      <c r="J800" s="81"/>
      <c r="K800" s="81"/>
      <c r="L800" s="86"/>
      <c r="M800" s="97"/>
      <c r="N800" s="81"/>
      <c r="O800" s="81"/>
      <c r="P800" s="86">
        <v>1425.16</v>
      </c>
      <c r="Q800" s="86">
        <v>4542560</v>
      </c>
      <c r="R800" s="81"/>
      <c r="S800" s="81"/>
      <c r="T800" s="81"/>
      <c r="U800" s="81"/>
      <c r="V800" s="97"/>
      <c r="W800" s="97"/>
      <c r="X800" s="97"/>
      <c r="Y800" s="14"/>
      <c r="Z800" s="12"/>
      <c r="AA800" s="11"/>
      <c r="AB800" s="12"/>
      <c r="AC800" s="12"/>
    </row>
    <row r="801" spans="1:29" ht="12.75" customHeight="1">
      <c r="A801" s="96">
        <f>A800+1</f>
        <v>623</v>
      </c>
      <c r="B801" s="13" t="s">
        <v>837</v>
      </c>
      <c r="C801" s="97">
        <f t="shared" si="164"/>
        <v>1747317</v>
      </c>
      <c r="D801" s="86">
        <f t="shared" si="165"/>
        <v>0</v>
      </c>
      <c r="E801" s="81"/>
      <c r="F801" s="81"/>
      <c r="G801" s="81"/>
      <c r="H801" s="81"/>
      <c r="I801" s="81"/>
      <c r="J801" s="81"/>
      <c r="K801" s="81"/>
      <c r="L801" s="86"/>
      <c r="M801" s="97"/>
      <c r="N801" s="81"/>
      <c r="O801" s="81"/>
      <c r="P801" s="86">
        <v>427.2</v>
      </c>
      <c r="Q801" s="86">
        <v>1747317</v>
      </c>
      <c r="R801" s="81"/>
      <c r="S801" s="81"/>
      <c r="T801" s="81"/>
      <c r="U801" s="81"/>
      <c r="V801" s="97"/>
      <c r="W801" s="97"/>
      <c r="X801" s="97"/>
      <c r="Y801" s="14"/>
      <c r="Z801" s="12"/>
      <c r="AA801" s="11"/>
      <c r="AB801" s="12"/>
      <c r="AC801" s="12"/>
    </row>
    <row r="802" spans="1:29" ht="12.75" customHeight="1">
      <c r="A802" s="96">
        <f>A801+1</f>
        <v>624</v>
      </c>
      <c r="B802" s="13" t="s">
        <v>58</v>
      </c>
      <c r="C802" s="97">
        <f t="shared" si="164"/>
        <v>126030</v>
      </c>
      <c r="D802" s="86">
        <f t="shared" si="165"/>
        <v>0</v>
      </c>
      <c r="E802" s="81"/>
      <c r="F802" s="81"/>
      <c r="G802" s="81"/>
      <c r="H802" s="81"/>
      <c r="I802" s="81"/>
      <c r="J802" s="81"/>
      <c r="K802" s="81"/>
      <c r="L802" s="86"/>
      <c r="M802" s="97"/>
      <c r="N802" s="81"/>
      <c r="O802" s="81"/>
      <c r="P802" s="81"/>
      <c r="Q802" s="81"/>
      <c r="R802" s="81"/>
      <c r="S802" s="81"/>
      <c r="T802" s="81"/>
      <c r="U802" s="81"/>
      <c r="V802" s="97"/>
      <c r="W802" s="97">
        <v>126030</v>
      </c>
      <c r="X802" s="97"/>
      <c r="Y802" s="14"/>
      <c r="Z802" s="12"/>
      <c r="AA802" s="11"/>
      <c r="AB802" s="12"/>
      <c r="AC802" s="12"/>
    </row>
    <row r="803" spans="1:29" ht="12.75" customHeight="1">
      <c r="A803" s="96">
        <f>A802+1</f>
        <v>625</v>
      </c>
      <c r="B803" s="13" t="s">
        <v>59</v>
      </c>
      <c r="C803" s="97">
        <f t="shared" si="164"/>
        <v>124930</v>
      </c>
      <c r="D803" s="86">
        <f t="shared" si="165"/>
        <v>0</v>
      </c>
      <c r="E803" s="81"/>
      <c r="F803" s="81"/>
      <c r="G803" s="81"/>
      <c r="H803" s="81"/>
      <c r="I803" s="81"/>
      <c r="J803" s="81"/>
      <c r="K803" s="81"/>
      <c r="L803" s="86"/>
      <c r="M803" s="97"/>
      <c r="N803" s="81"/>
      <c r="O803" s="81"/>
      <c r="P803" s="81"/>
      <c r="Q803" s="81"/>
      <c r="R803" s="81"/>
      <c r="S803" s="81"/>
      <c r="T803" s="81"/>
      <c r="U803" s="81"/>
      <c r="V803" s="97"/>
      <c r="W803" s="97">
        <v>124930</v>
      </c>
      <c r="X803" s="97"/>
      <c r="Y803" s="14"/>
      <c r="Z803" s="12"/>
      <c r="AA803" s="11"/>
      <c r="AB803" s="12"/>
      <c r="AC803" s="12"/>
    </row>
    <row r="804" spans="1:29" ht="12.75" customHeight="1">
      <c r="A804" s="130" t="s">
        <v>597</v>
      </c>
      <c r="B804" s="130"/>
      <c r="C804" s="97">
        <f aca="true" t="shared" si="166" ref="C804:X804">SUM(C732:C803)</f>
        <v>68999386</v>
      </c>
      <c r="D804" s="97">
        <f t="shared" si="166"/>
        <v>16191507</v>
      </c>
      <c r="E804" s="97">
        <f t="shared" si="166"/>
        <v>5452361</v>
      </c>
      <c r="F804" s="97">
        <f t="shared" si="166"/>
        <v>10739146</v>
      </c>
      <c r="G804" s="97">
        <f t="shared" si="166"/>
        <v>0</v>
      </c>
      <c r="H804" s="97">
        <f t="shared" si="166"/>
        <v>0</v>
      </c>
      <c r="I804" s="97">
        <f t="shared" si="166"/>
        <v>0</v>
      </c>
      <c r="J804" s="97">
        <f t="shared" si="166"/>
        <v>0</v>
      </c>
      <c r="K804" s="97">
        <f t="shared" si="166"/>
        <v>0</v>
      </c>
      <c r="L804" s="97">
        <f t="shared" si="166"/>
        <v>12769.5</v>
      </c>
      <c r="M804" s="97">
        <f t="shared" si="166"/>
        <v>24119335</v>
      </c>
      <c r="N804" s="97">
        <f t="shared" si="166"/>
        <v>11389</v>
      </c>
      <c r="O804" s="97">
        <f t="shared" si="166"/>
        <v>8284384</v>
      </c>
      <c r="P804" s="97">
        <f t="shared" si="166"/>
        <v>26448.36</v>
      </c>
      <c r="Q804" s="97">
        <f t="shared" si="166"/>
        <v>15801640</v>
      </c>
      <c r="R804" s="97">
        <f t="shared" si="166"/>
        <v>0</v>
      </c>
      <c r="S804" s="97">
        <f t="shared" si="166"/>
        <v>0</v>
      </c>
      <c r="T804" s="97">
        <f t="shared" si="166"/>
        <v>0</v>
      </c>
      <c r="U804" s="97">
        <f t="shared" si="166"/>
        <v>0</v>
      </c>
      <c r="V804" s="97">
        <f t="shared" si="166"/>
        <v>357080</v>
      </c>
      <c r="W804" s="97">
        <f t="shared" si="166"/>
        <v>4245440</v>
      </c>
      <c r="X804" s="97">
        <f t="shared" si="166"/>
        <v>0</v>
      </c>
      <c r="Y804" s="14"/>
      <c r="Z804" s="12"/>
      <c r="AA804" s="12"/>
      <c r="AB804" s="12"/>
      <c r="AC804" s="12"/>
    </row>
    <row r="805" spans="1:29" ht="12.75" customHeight="1">
      <c r="A805" s="123" t="s">
        <v>667</v>
      </c>
      <c r="B805" s="123"/>
      <c r="C805" s="123"/>
      <c r="D805" s="127"/>
      <c r="E805" s="127"/>
      <c r="F805" s="127"/>
      <c r="G805" s="127"/>
      <c r="H805" s="127"/>
      <c r="I805" s="127"/>
      <c r="J805" s="127"/>
      <c r="K805" s="127"/>
      <c r="L805" s="127"/>
      <c r="M805" s="127"/>
      <c r="N805" s="127"/>
      <c r="O805" s="127"/>
      <c r="P805" s="127"/>
      <c r="Q805" s="127"/>
      <c r="R805" s="127"/>
      <c r="S805" s="127"/>
      <c r="T805" s="127"/>
      <c r="U805" s="127"/>
      <c r="V805" s="127"/>
      <c r="W805" s="127"/>
      <c r="X805" s="127"/>
      <c r="Y805" s="14"/>
      <c r="Z805" s="12"/>
      <c r="AA805" s="11"/>
      <c r="AB805" s="12"/>
      <c r="AC805" s="12"/>
    </row>
    <row r="806" spans="1:29" ht="12.75" customHeight="1">
      <c r="A806" s="10">
        <f>A803+1</f>
        <v>626</v>
      </c>
      <c r="B806" s="13" t="s">
        <v>6</v>
      </c>
      <c r="C806" s="97">
        <f aca="true" t="shared" si="167" ref="C806:C818">D806+K806+M806+O806+Q806+S806+U806+V806+W806+X806</f>
        <v>2069299</v>
      </c>
      <c r="D806" s="86">
        <f aca="true" t="shared" si="168" ref="D806:D818">E806+F806+G806+H806+I806</f>
        <v>0</v>
      </c>
      <c r="E806" s="81"/>
      <c r="F806" s="81"/>
      <c r="G806" s="81"/>
      <c r="H806" s="81"/>
      <c r="I806" s="81"/>
      <c r="J806" s="81"/>
      <c r="K806" s="81"/>
      <c r="L806" s="86"/>
      <c r="M806" s="86"/>
      <c r="N806" s="86"/>
      <c r="O806" s="86"/>
      <c r="P806" s="86">
        <v>684.6</v>
      </c>
      <c r="Q806" s="86">
        <v>2069299</v>
      </c>
      <c r="R806" s="81"/>
      <c r="S806" s="81"/>
      <c r="T806" s="81"/>
      <c r="U806" s="81"/>
      <c r="V806" s="97"/>
      <c r="W806" s="97"/>
      <c r="X806" s="97"/>
      <c r="Y806" s="14"/>
      <c r="Z806" s="12"/>
      <c r="AA806" s="11"/>
      <c r="AB806" s="12"/>
      <c r="AC806" s="12"/>
    </row>
    <row r="807" spans="1:29" ht="12.75" customHeight="1">
      <c r="A807" s="10">
        <f>A806+1</f>
        <v>627</v>
      </c>
      <c r="B807" s="13" t="s">
        <v>7</v>
      </c>
      <c r="C807" s="97">
        <f t="shared" si="167"/>
        <v>4323696</v>
      </c>
      <c r="D807" s="86">
        <f t="shared" si="168"/>
        <v>0</v>
      </c>
      <c r="E807" s="81"/>
      <c r="F807" s="81"/>
      <c r="G807" s="81"/>
      <c r="H807" s="81"/>
      <c r="I807" s="81"/>
      <c r="J807" s="81"/>
      <c r="K807" s="81"/>
      <c r="L807" s="86"/>
      <c r="M807" s="86"/>
      <c r="N807" s="86"/>
      <c r="O807" s="86"/>
      <c r="P807" s="86">
        <v>823</v>
      </c>
      <c r="Q807" s="86">
        <v>1279088</v>
      </c>
      <c r="R807" s="81"/>
      <c r="S807" s="81"/>
      <c r="T807" s="86">
        <v>720</v>
      </c>
      <c r="U807" s="86">
        <v>3044608</v>
      </c>
      <c r="V807" s="97"/>
      <c r="W807" s="97"/>
      <c r="X807" s="97"/>
      <c r="Y807" s="14"/>
      <c r="Z807" s="12"/>
      <c r="AA807" s="11"/>
      <c r="AB807" s="12"/>
      <c r="AC807" s="12"/>
    </row>
    <row r="808" spans="1:29" ht="12.75" customHeight="1">
      <c r="A808" s="10">
        <f aca="true" t="shared" si="169" ref="A808:A818">A807+1</f>
        <v>628</v>
      </c>
      <c r="B808" s="13" t="s">
        <v>8</v>
      </c>
      <c r="C808" s="97">
        <f t="shared" si="167"/>
        <v>4323696</v>
      </c>
      <c r="D808" s="86">
        <f t="shared" si="168"/>
        <v>0</v>
      </c>
      <c r="E808" s="81"/>
      <c r="F808" s="81"/>
      <c r="G808" s="81"/>
      <c r="H808" s="81"/>
      <c r="I808" s="81"/>
      <c r="J808" s="81"/>
      <c r="K808" s="81"/>
      <c r="L808" s="86"/>
      <c r="M808" s="86"/>
      <c r="N808" s="86"/>
      <c r="O808" s="86"/>
      <c r="P808" s="86">
        <v>823</v>
      </c>
      <c r="Q808" s="86">
        <v>1279088</v>
      </c>
      <c r="R808" s="81"/>
      <c r="S808" s="81"/>
      <c r="T808" s="86">
        <v>720</v>
      </c>
      <c r="U808" s="86">
        <v>3044608</v>
      </c>
      <c r="V808" s="97"/>
      <c r="W808" s="97"/>
      <c r="X808" s="97"/>
      <c r="Y808" s="14"/>
      <c r="Z808" s="12"/>
      <c r="AA808" s="11"/>
      <c r="AB808" s="12"/>
      <c r="AC808" s="12"/>
    </row>
    <row r="809" spans="1:29" ht="12.75" customHeight="1">
      <c r="A809" s="10">
        <f t="shared" si="169"/>
        <v>629</v>
      </c>
      <c r="B809" s="13" t="s">
        <v>839</v>
      </c>
      <c r="C809" s="97">
        <f t="shared" si="167"/>
        <v>257745</v>
      </c>
      <c r="D809" s="86">
        <f t="shared" si="168"/>
        <v>0</v>
      </c>
      <c r="E809" s="81"/>
      <c r="F809" s="81"/>
      <c r="G809" s="81"/>
      <c r="H809" s="81"/>
      <c r="I809" s="81"/>
      <c r="J809" s="81"/>
      <c r="K809" s="81"/>
      <c r="L809" s="86"/>
      <c r="M809" s="86"/>
      <c r="N809" s="86"/>
      <c r="O809" s="86"/>
      <c r="P809" s="81"/>
      <c r="Q809" s="81"/>
      <c r="R809" s="81"/>
      <c r="S809" s="81"/>
      <c r="T809" s="81"/>
      <c r="U809" s="81"/>
      <c r="V809" s="97"/>
      <c r="W809" s="97">
        <f>93095+75965+88685</f>
        <v>257745</v>
      </c>
      <c r="X809" s="97"/>
      <c r="Y809" s="14"/>
      <c r="Z809" s="12"/>
      <c r="AA809" s="11"/>
      <c r="AB809" s="12"/>
      <c r="AC809" s="12"/>
    </row>
    <row r="810" spans="1:29" ht="12.75" customHeight="1">
      <c r="A810" s="10">
        <f t="shared" si="169"/>
        <v>630</v>
      </c>
      <c r="B810" s="13" t="s">
        <v>9</v>
      </c>
      <c r="C810" s="97">
        <f t="shared" si="167"/>
        <v>1084927</v>
      </c>
      <c r="D810" s="86">
        <f t="shared" si="168"/>
        <v>0</v>
      </c>
      <c r="E810" s="81"/>
      <c r="F810" s="81"/>
      <c r="G810" s="81"/>
      <c r="H810" s="81"/>
      <c r="I810" s="81"/>
      <c r="J810" s="81"/>
      <c r="K810" s="81"/>
      <c r="L810" s="86"/>
      <c r="M810" s="86"/>
      <c r="N810" s="86"/>
      <c r="O810" s="86"/>
      <c r="P810" s="86">
        <v>295</v>
      </c>
      <c r="Q810" s="86">
        <v>1084927</v>
      </c>
      <c r="R810" s="81"/>
      <c r="S810" s="81"/>
      <c r="T810" s="81"/>
      <c r="U810" s="81"/>
      <c r="V810" s="97"/>
      <c r="W810" s="97"/>
      <c r="X810" s="97"/>
      <c r="Y810" s="14"/>
      <c r="Z810" s="12"/>
      <c r="AA810" s="11"/>
      <c r="AB810" s="12"/>
      <c r="AC810" s="12"/>
    </row>
    <row r="811" spans="1:29" ht="12.75" customHeight="1">
      <c r="A811" s="10">
        <f t="shared" si="169"/>
        <v>631</v>
      </c>
      <c r="B811" s="13" t="s">
        <v>10</v>
      </c>
      <c r="C811" s="97">
        <f aca="true" t="shared" si="170" ref="C811:C817">D811+K811+M811+O811+Q811+S811+U811+V811+W811+X811</f>
        <v>4323696</v>
      </c>
      <c r="D811" s="86">
        <f aca="true" t="shared" si="171" ref="D811:D817">E811+F811+G811+H811+I811</f>
        <v>0</v>
      </c>
      <c r="E811" s="81"/>
      <c r="F811" s="81"/>
      <c r="G811" s="81"/>
      <c r="H811" s="81"/>
      <c r="I811" s="81"/>
      <c r="J811" s="81"/>
      <c r="K811" s="81"/>
      <c r="L811" s="86"/>
      <c r="M811" s="86"/>
      <c r="N811" s="86"/>
      <c r="O811" s="86"/>
      <c r="P811" s="86">
        <v>823</v>
      </c>
      <c r="Q811" s="86">
        <v>1279088</v>
      </c>
      <c r="R811" s="81"/>
      <c r="S811" s="81"/>
      <c r="T811" s="86">
        <v>720</v>
      </c>
      <c r="U811" s="86">
        <v>3044608</v>
      </c>
      <c r="V811" s="97"/>
      <c r="W811" s="97"/>
      <c r="X811" s="97"/>
      <c r="Y811" s="14"/>
      <c r="Z811" s="12"/>
      <c r="AA811" s="11"/>
      <c r="AB811" s="12"/>
      <c r="AC811" s="12"/>
    </row>
    <row r="812" spans="1:29" ht="12.75" customHeight="1">
      <c r="A812" s="10">
        <f t="shared" si="169"/>
        <v>632</v>
      </c>
      <c r="B812" s="13" t="s">
        <v>11</v>
      </c>
      <c r="C812" s="97">
        <f t="shared" si="170"/>
        <v>2315212</v>
      </c>
      <c r="D812" s="86">
        <f t="shared" si="171"/>
        <v>0</v>
      </c>
      <c r="E812" s="81"/>
      <c r="F812" s="81"/>
      <c r="G812" s="81"/>
      <c r="H812" s="81"/>
      <c r="I812" s="81"/>
      <c r="J812" s="81"/>
      <c r="K812" s="81"/>
      <c r="L812" s="86"/>
      <c r="M812" s="86"/>
      <c r="N812" s="86"/>
      <c r="O812" s="86"/>
      <c r="P812" s="86">
        <v>548</v>
      </c>
      <c r="Q812" s="86">
        <v>638332</v>
      </c>
      <c r="R812" s="81"/>
      <c r="S812" s="81"/>
      <c r="T812" s="86">
        <v>480</v>
      </c>
      <c r="U812" s="86">
        <v>1676880</v>
      </c>
      <c r="V812" s="97"/>
      <c r="W812" s="97"/>
      <c r="X812" s="97"/>
      <c r="Y812" s="14"/>
      <c r="Z812" s="12"/>
      <c r="AA812" s="11"/>
      <c r="AB812" s="12"/>
      <c r="AC812" s="12"/>
    </row>
    <row r="813" spans="1:29" s="253" customFormat="1" ht="12.75">
      <c r="A813" s="10">
        <f t="shared" si="169"/>
        <v>633</v>
      </c>
      <c r="B813" s="89" t="s">
        <v>12</v>
      </c>
      <c r="C813" s="97">
        <f t="shared" si="170"/>
        <v>626462</v>
      </c>
      <c r="D813" s="86">
        <f t="shared" si="171"/>
        <v>474124</v>
      </c>
      <c r="E813" s="266">
        <v>474124</v>
      </c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>
        <f>71078+81260</f>
        <v>152338</v>
      </c>
      <c r="X813" s="255"/>
      <c r="Y813" s="251"/>
      <c r="Z813" s="252"/>
      <c r="AA813" s="252"/>
      <c r="AB813" s="12"/>
      <c r="AC813" s="12"/>
    </row>
    <row r="814" spans="1:29" ht="12.75" customHeight="1">
      <c r="A814" s="10">
        <f t="shared" si="169"/>
        <v>634</v>
      </c>
      <c r="B814" s="13" t="s">
        <v>13</v>
      </c>
      <c r="C814" s="97">
        <f t="shared" si="170"/>
        <v>33023</v>
      </c>
      <c r="D814" s="86">
        <f t="shared" si="171"/>
        <v>0</v>
      </c>
      <c r="E814" s="81"/>
      <c r="F814" s="81"/>
      <c r="G814" s="81"/>
      <c r="H814" s="81"/>
      <c r="I814" s="81"/>
      <c r="J814" s="81"/>
      <c r="K814" s="81"/>
      <c r="L814" s="86"/>
      <c r="M814" s="86"/>
      <c r="N814" s="86"/>
      <c r="O814" s="86"/>
      <c r="P814" s="81"/>
      <c r="Q814" s="81"/>
      <c r="R814" s="81"/>
      <c r="S814" s="81"/>
      <c r="T814" s="81"/>
      <c r="U814" s="81"/>
      <c r="V814" s="97"/>
      <c r="W814" s="97">
        <v>33023</v>
      </c>
      <c r="X814" s="97"/>
      <c r="Y814" s="14"/>
      <c r="Z814" s="12"/>
      <c r="AA814" s="11"/>
      <c r="AB814" s="12"/>
      <c r="AC814" s="12"/>
    </row>
    <row r="815" spans="1:29" ht="12.75" customHeight="1">
      <c r="A815" s="10">
        <f t="shared" si="169"/>
        <v>635</v>
      </c>
      <c r="B815" s="13" t="s">
        <v>14</v>
      </c>
      <c r="C815" s="97">
        <f t="shared" si="170"/>
        <v>129154</v>
      </c>
      <c r="D815" s="86">
        <f t="shared" si="171"/>
        <v>0</v>
      </c>
      <c r="E815" s="81"/>
      <c r="F815" s="81"/>
      <c r="G815" s="81"/>
      <c r="H815" s="81"/>
      <c r="I815" s="81"/>
      <c r="J815" s="81"/>
      <c r="K815" s="81"/>
      <c r="L815" s="86"/>
      <c r="M815" s="86"/>
      <c r="N815" s="86"/>
      <c r="O815" s="86"/>
      <c r="P815" s="81"/>
      <c r="Q815" s="81"/>
      <c r="R815" s="81"/>
      <c r="S815" s="81"/>
      <c r="T815" s="81"/>
      <c r="U815" s="81"/>
      <c r="V815" s="97"/>
      <c r="W815" s="97">
        <f>56847+72307</f>
        <v>129154</v>
      </c>
      <c r="X815" s="97"/>
      <c r="Y815" s="251"/>
      <c r="Z815" s="12"/>
      <c r="AA815" s="11"/>
      <c r="AB815" s="12"/>
      <c r="AC815" s="12"/>
    </row>
    <row r="816" spans="1:29" ht="12.75" customHeight="1">
      <c r="A816" s="10">
        <f t="shared" si="169"/>
        <v>636</v>
      </c>
      <c r="B816" s="13" t="s">
        <v>15</v>
      </c>
      <c r="C816" s="97">
        <f t="shared" si="170"/>
        <v>71907</v>
      </c>
      <c r="D816" s="86">
        <f t="shared" si="171"/>
        <v>0</v>
      </c>
      <c r="E816" s="81"/>
      <c r="F816" s="81"/>
      <c r="G816" s="81"/>
      <c r="H816" s="81"/>
      <c r="I816" s="81"/>
      <c r="J816" s="81"/>
      <c r="K816" s="81"/>
      <c r="L816" s="86"/>
      <c r="M816" s="86"/>
      <c r="N816" s="86"/>
      <c r="O816" s="86"/>
      <c r="P816" s="81"/>
      <c r="Q816" s="81"/>
      <c r="R816" s="81"/>
      <c r="S816" s="81"/>
      <c r="T816" s="81"/>
      <c r="U816" s="81"/>
      <c r="V816" s="97"/>
      <c r="W816" s="97">
        <f>71907</f>
        <v>71907</v>
      </c>
      <c r="X816" s="97"/>
      <c r="Y816" s="14"/>
      <c r="Z816" s="12"/>
      <c r="AA816" s="11"/>
      <c r="AB816" s="12"/>
      <c r="AC816" s="12"/>
    </row>
    <row r="817" spans="1:29" ht="12.75" customHeight="1">
      <c r="A817" s="10">
        <f t="shared" si="169"/>
        <v>637</v>
      </c>
      <c r="B817" s="13" t="s">
        <v>16</v>
      </c>
      <c r="C817" s="97">
        <f t="shared" si="170"/>
        <v>52074</v>
      </c>
      <c r="D817" s="86">
        <f t="shared" si="171"/>
        <v>0</v>
      </c>
      <c r="E817" s="81"/>
      <c r="F817" s="81"/>
      <c r="G817" s="81"/>
      <c r="H817" s="81"/>
      <c r="I817" s="81"/>
      <c r="J817" s="81"/>
      <c r="K817" s="81"/>
      <c r="L817" s="86"/>
      <c r="M817" s="86"/>
      <c r="N817" s="86"/>
      <c r="O817" s="86"/>
      <c r="P817" s="81"/>
      <c r="Q817" s="81"/>
      <c r="R817" s="81"/>
      <c r="S817" s="81"/>
      <c r="T817" s="81"/>
      <c r="U817" s="81"/>
      <c r="V817" s="97"/>
      <c r="W817" s="97">
        <v>52074</v>
      </c>
      <c r="X817" s="97"/>
      <c r="Y817" s="14"/>
      <c r="Z817" s="12"/>
      <c r="AA817" s="11"/>
      <c r="AB817" s="12"/>
      <c r="AC817" s="12"/>
    </row>
    <row r="818" spans="1:29" ht="12.75" customHeight="1">
      <c r="A818" s="10">
        <f t="shared" si="169"/>
        <v>638</v>
      </c>
      <c r="B818" s="13" t="s">
        <v>17</v>
      </c>
      <c r="C818" s="97">
        <f t="shared" si="167"/>
        <v>69249</v>
      </c>
      <c r="D818" s="86">
        <f t="shared" si="168"/>
        <v>0</v>
      </c>
      <c r="E818" s="81"/>
      <c r="F818" s="86"/>
      <c r="G818" s="86"/>
      <c r="H818" s="86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97"/>
      <c r="W818" s="97">
        <v>69249</v>
      </c>
      <c r="X818" s="97"/>
      <c r="Y818" s="14"/>
      <c r="Z818" s="12"/>
      <c r="AA818" s="11"/>
      <c r="AB818" s="12"/>
      <c r="AC818" s="12"/>
    </row>
    <row r="819" spans="1:29" ht="12.75" customHeight="1">
      <c r="A819" s="130" t="s">
        <v>597</v>
      </c>
      <c r="B819" s="130"/>
      <c r="C819" s="86">
        <f>SUM(C806:C818)</f>
        <v>19680140</v>
      </c>
      <c r="D819" s="86">
        <f aca="true" t="shared" si="172" ref="D819:X819">SUM(D806:D818)</f>
        <v>474124</v>
      </c>
      <c r="E819" s="86">
        <f t="shared" si="172"/>
        <v>474124</v>
      </c>
      <c r="F819" s="86">
        <f t="shared" si="172"/>
        <v>0</v>
      </c>
      <c r="G819" s="86">
        <f t="shared" si="172"/>
        <v>0</v>
      </c>
      <c r="H819" s="86">
        <f t="shared" si="172"/>
        <v>0</v>
      </c>
      <c r="I819" s="86">
        <f t="shared" si="172"/>
        <v>0</v>
      </c>
      <c r="J819" s="86">
        <f t="shared" si="172"/>
        <v>0</v>
      </c>
      <c r="K819" s="86">
        <f t="shared" si="172"/>
        <v>0</v>
      </c>
      <c r="L819" s="86">
        <f t="shared" si="172"/>
        <v>0</v>
      </c>
      <c r="M819" s="86">
        <f t="shared" si="172"/>
        <v>0</v>
      </c>
      <c r="N819" s="86">
        <f t="shared" si="172"/>
        <v>0</v>
      </c>
      <c r="O819" s="86">
        <f t="shared" si="172"/>
        <v>0</v>
      </c>
      <c r="P819" s="86">
        <f t="shared" si="172"/>
        <v>3996.6</v>
      </c>
      <c r="Q819" s="86">
        <f t="shared" si="172"/>
        <v>7629822</v>
      </c>
      <c r="R819" s="86">
        <f t="shared" si="172"/>
        <v>0</v>
      </c>
      <c r="S819" s="86">
        <f t="shared" si="172"/>
        <v>0</v>
      </c>
      <c r="T819" s="86">
        <f t="shared" si="172"/>
        <v>2640</v>
      </c>
      <c r="U819" s="86">
        <f t="shared" si="172"/>
        <v>10810704</v>
      </c>
      <c r="V819" s="86">
        <f t="shared" si="172"/>
        <v>0</v>
      </c>
      <c r="W819" s="86">
        <f t="shared" si="172"/>
        <v>765490</v>
      </c>
      <c r="X819" s="86">
        <f t="shared" si="172"/>
        <v>0</v>
      </c>
      <c r="Y819" s="14"/>
      <c r="Z819" s="12"/>
      <c r="AA819" s="12"/>
      <c r="AB819" s="12"/>
      <c r="AC819" s="12"/>
    </row>
    <row r="820" spans="1:29" s="23" customFormat="1" ht="12.75" customHeight="1">
      <c r="A820" s="123" t="s">
        <v>668</v>
      </c>
      <c r="B820" s="123"/>
      <c r="C820" s="83">
        <f>C804+C819</f>
        <v>88679526</v>
      </c>
      <c r="D820" s="83">
        <f aca="true" t="shared" si="173" ref="D820:X820">D804+D819</f>
        <v>16665631</v>
      </c>
      <c r="E820" s="83">
        <f t="shared" si="173"/>
        <v>5926485</v>
      </c>
      <c r="F820" s="83">
        <f t="shared" si="173"/>
        <v>10739146</v>
      </c>
      <c r="G820" s="83">
        <f t="shared" si="173"/>
        <v>0</v>
      </c>
      <c r="H820" s="83">
        <f t="shared" si="173"/>
        <v>0</v>
      </c>
      <c r="I820" s="83">
        <f t="shared" si="173"/>
        <v>0</v>
      </c>
      <c r="J820" s="83">
        <f t="shared" si="173"/>
        <v>0</v>
      </c>
      <c r="K820" s="83">
        <f t="shared" si="173"/>
        <v>0</v>
      </c>
      <c r="L820" s="83">
        <f t="shared" si="173"/>
        <v>12769.5</v>
      </c>
      <c r="M820" s="83">
        <f t="shared" si="173"/>
        <v>24119335</v>
      </c>
      <c r="N820" s="83">
        <f t="shared" si="173"/>
        <v>11389</v>
      </c>
      <c r="O820" s="83">
        <f t="shared" si="173"/>
        <v>8284384</v>
      </c>
      <c r="P820" s="83">
        <f t="shared" si="173"/>
        <v>30444.96</v>
      </c>
      <c r="Q820" s="83">
        <f t="shared" si="173"/>
        <v>23431462</v>
      </c>
      <c r="R820" s="83">
        <f t="shared" si="173"/>
        <v>0</v>
      </c>
      <c r="S820" s="83">
        <f t="shared" si="173"/>
        <v>0</v>
      </c>
      <c r="T820" s="83">
        <f t="shared" si="173"/>
        <v>2640</v>
      </c>
      <c r="U820" s="83">
        <f t="shared" si="173"/>
        <v>10810704</v>
      </c>
      <c r="V820" s="83">
        <f t="shared" si="173"/>
        <v>357080</v>
      </c>
      <c r="W820" s="83">
        <f t="shared" si="173"/>
        <v>5010930</v>
      </c>
      <c r="X820" s="83">
        <f t="shared" si="173"/>
        <v>0</v>
      </c>
      <c r="Y820" s="14"/>
      <c r="Z820" s="12"/>
      <c r="AA820" s="12"/>
      <c r="AB820" s="12"/>
      <c r="AC820" s="12"/>
    </row>
    <row r="821" spans="1:29" ht="12.75" customHeight="1">
      <c r="A821" s="133" t="s">
        <v>18</v>
      </c>
      <c r="B821" s="133"/>
      <c r="C821" s="133"/>
      <c r="D821" s="133"/>
      <c r="E821" s="133"/>
      <c r="F821" s="133"/>
      <c r="G821" s="133"/>
      <c r="H821" s="133"/>
      <c r="I821" s="133"/>
      <c r="J821" s="133"/>
      <c r="K821" s="133"/>
      <c r="L821" s="133"/>
      <c r="M821" s="133"/>
      <c r="N821" s="133"/>
      <c r="O821" s="133"/>
      <c r="P821" s="133"/>
      <c r="Q821" s="133"/>
      <c r="R821" s="133"/>
      <c r="S821" s="133"/>
      <c r="T821" s="133"/>
      <c r="U821" s="133"/>
      <c r="V821" s="133"/>
      <c r="W821" s="133"/>
      <c r="X821" s="133"/>
      <c r="Y821" s="14"/>
      <c r="Z821" s="12"/>
      <c r="AB821" s="12"/>
      <c r="AC821" s="12"/>
    </row>
    <row r="822" spans="1:29" s="26" customFormat="1" ht="15" customHeight="1">
      <c r="A822" s="120" t="s">
        <v>768</v>
      </c>
      <c r="B822" s="121"/>
      <c r="C822" s="121"/>
      <c r="D822" s="121"/>
      <c r="E822" s="122"/>
      <c r="F822" s="101"/>
      <c r="G822" s="101"/>
      <c r="H822" s="101"/>
      <c r="I822" s="101"/>
      <c r="J822" s="101"/>
      <c r="K822" s="101"/>
      <c r="L822" s="101"/>
      <c r="M822" s="101"/>
      <c r="N822" s="101"/>
      <c r="O822" s="101"/>
      <c r="P822" s="101"/>
      <c r="Q822" s="101"/>
      <c r="R822" s="101"/>
      <c r="S822" s="101"/>
      <c r="T822" s="101"/>
      <c r="U822" s="101"/>
      <c r="V822" s="101"/>
      <c r="W822" s="101"/>
      <c r="X822" s="250"/>
      <c r="Y822" s="267"/>
      <c r="Z822" s="268"/>
      <c r="AA822" s="268"/>
      <c r="AB822" s="12"/>
      <c r="AC822" s="12"/>
    </row>
    <row r="823" spans="1:29" s="26" customFormat="1" ht="15">
      <c r="A823" s="10">
        <f>A818+1</f>
        <v>639</v>
      </c>
      <c r="B823" s="89" t="s">
        <v>769</v>
      </c>
      <c r="C823" s="97">
        <f>D823+K823+M823+O823+Q823+S823+U823+V823+W823+X823</f>
        <v>8620603</v>
      </c>
      <c r="D823" s="86">
        <f>E823+F823+G823+H823+I823</f>
        <v>2420085</v>
      </c>
      <c r="E823" s="266">
        <v>625084</v>
      </c>
      <c r="F823" s="86"/>
      <c r="G823" s="266">
        <v>566629</v>
      </c>
      <c r="H823" s="266">
        <v>571578</v>
      </c>
      <c r="I823" s="266">
        <v>656794</v>
      </c>
      <c r="J823" s="86"/>
      <c r="K823" s="86"/>
      <c r="L823" s="86"/>
      <c r="M823" s="86"/>
      <c r="N823" s="97">
        <v>305</v>
      </c>
      <c r="O823" s="246">
        <v>543322</v>
      </c>
      <c r="P823" s="97">
        <v>427</v>
      </c>
      <c r="Q823" s="246">
        <v>4130319</v>
      </c>
      <c r="R823" s="97">
        <v>305</v>
      </c>
      <c r="S823" s="246">
        <v>1526877</v>
      </c>
      <c r="T823" s="81"/>
      <c r="U823" s="81"/>
      <c r="V823" s="97"/>
      <c r="W823" s="97"/>
      <c r="X823" s="250"/>
      <c r="Y823" s="267"/>
      <c r="Z823" s="268"/>
      <c r="AA823" s="268"/>
      <c r="AB823" s="12"/>
      <c r="AC823" s="12"/>
    </row>
    <row r="824" spans="1:29" s="26" customFormat="1" ht="15">
      <c r="A824" s="138" t="s">
        <v>597</v>
      </c>
      <c r="B824" s="139"/>
      <c r="C824" s="86">
        <f aca="true" t="shared" si="174" ref="C824:X824">SUM(C823:C823)</f>
        <v>8620603</v>
      </c>
      <c r="D824" s="86">
        <f t="shared" si="174"/>
        <v>2420085</v>
      </c>
      <c r="E824" s="86">
        <f t="shared" si="174"/>
        <v>625084</v>
      </c>
      <c r="F824" s="86">
        <f t="shared" si="174"/>
        <v>0</v>
      </c>
      <c r="G824" s="86">
        <f t="shared" si="174"/>
        <v>566629</v>
      </c>
      <c r="H824" s="86">
        <f t="shared" si="174"/>
        <v>571578</v>
      </c>
      <c r="I824" s="86">
        <f t="shared" si="174"/>
        <v>656794</v>
      </c>
      <c r="J824" s="86">
        <f t="shared" si="174"/>
        <v>0</v>
      </c>
      <c r="K824" s="86">
        <f t="shared" si="174"/>
        <v>0</v>
      </c>
      <c r="L824" s="86">
        <f t="shared" si="174"/>
        <v>0</v>
      </c>
      <c r="M824" s="86">
        <f t="shared" si="174"/>
        <v>0</v>
      </c>
      <c r="N824" s="86">
        <f t="shared" si="174"/>
        <v>305</v>
      </c>
      <c r="O824" s="86">
        <f t="shared" si="174"/>
        <v>543322</v>
      </c>
      <c r="P824" s="86">
        <f t="shared" si="174"/>
        <v>427</v>
      </c>
      <c r="Q824" s="86">
        <f t="shared" si="174"/>
        <v>4130319</v>
      </c>
      <c r="R824" s="86">
        <f t="shared" si="174"/>
        <v>305</v>
      </c>
      <c r="S824" s="86">
        <f t="shared" si="174"/>
        <v>1526877</v>
      </c>
      <c r="T824" s="86">
        <f t="shared" si="174"/>
        <v>0</v>
      </c>
      <c r="U824" s="86">
        <f t="shared" si="174"/>
        <v>0</v>
      </c>
      <c r="V824" s="86">
        <f t="shared" si="174"/>
        <v>0</v>
      </c>
      <c r="W824" s="86">
        <f t="shared" si="174"/>
        <v>0</v>
      </c>
      <c r="X824" s="86">
        <f t="shared" si="174"/>
        <v>0</v>
      </c>
      <c r="Y824" s="14"/>
      <c r="Z824" s="12"/>
      <c r="AA824" s="268"/>
      <c r="AB824" s="12"/>
      <c r="AC824" s="12"/>
    </row>
    <row r="825" spans="1:29" ht="12.75" customHeight="1">
      <c r="A825" s="123" t="s">
        <v>652</v>
      </c>
      <c r="B825" s="123"/>
      <c r="C825" s="123"/>
      <c r="D825" s="127"/>
      <c r="E825" s="127"/>
      <c r="F825" s="127"/>
      <c r="G825" s="127"/>
      <c r="H825" s="127"/>
      <c r="I825" s="127"/>
      <c r="J825" s="127"/>
      <c r="K825" s="127"/>
      <c r="L825" s="127"/>
      <c r="M825" s="127"/>
      <c r="N825" s="127"/>
      <c r="O825" s="127"/>
      <c r="P825" s="127"/>
      <c r="Q825" s="127"/>
      <c r="R825" s="127"/>
      <c r="S825" s="127"/>
      <c r="T825" s="127"/>
      <c r="U825" s="127"/>
      <c r="V825" s="127"/>
      <c r="W825" s="127"/>
      <c r="X825" s="127"/>
      <c r="Y825" s="14"/>
      <c r="Z825" s="12"/>
      <c r="AB825" s="12"/>
      <c r="AC825" s="12"/>
    </row>
    <row r="826" spans="1:29" ht="15" customHeight="1">
      <c r="A826" s="96">
        <f>A823+1</f>
        <v>640</v>
      </c>
      <c r="B826" s="240" t="s">
        <v>563</v>
      </c>
      <c r="C826" s="97">
        <f aca="true" t="shared" si="175" ref="C826:C831">D826+K826+M826+O826+Q826+S826+U826+V826+W826+X826</f>
        <v>703923</v>
      </c>
      <c r="D826" s="86">
        <f aca="true" t="shared" si="176" ref="D826:D831">E826+F826+G826+H826+I826</f>
        <v>0</v>
      </c>
      <c r="E826" s="86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>
        <v>703923</v>
      </c>
      <c r="X826" s="97"/>
      <c r="Y826" s="14"/>
      <c r="Z826" s="12"/>
      <c r="AB826" s="12"/>
      <c r="AC826" s="12"/>
    </row>
    <row r="827" spans="1:29" ht="12.75" customHeight="1">
      <c r="A827" s="96">
        <f>A826+1</f>
        <v>641</v>
      </c>
      <c r="B827" s="240" t="s">
        <v>564</v>
      </c>
      <c r="C827" s="97">
        <f t="shared" si="175"/>
        <v>177269</v>
      </c>
      <c r="D827" s="86">
        <f t="shared" si="176"/>
        <v>0</v>
      </c>
      <c r="E827" s="86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>
        <v>177269</v>
      </c>
      <c r="X827" s="97"/>
      <c r="Y827" s="14"/>
      <c r="Z827" s="12"/>
      <c r="AB827" s="12"/>
      <c r="AC827" s="12"/>
    </row>
    <row r="828" spans="1:29" ht="13.5" customHeight="1">
      <c r="A828" s="96">
        <f>A827+1</f>
        <v>642</v>
      </c>
      <c r="B828" s="241" t="s">
        <v>565</v>
      </c>
      <c r="C828" s="97">
        <f t="shared" si="175"/>
        <v>229859</v>
      </c>
      <c r="D828" s="86">
        <f t="shared" si="176"/>
        <v>0</v>
      </c>
      <c r="E828" s="86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>
        <v>229859</v>
      </c>
      <c r="X828" s="97"/>
      <c r="Y828" s="14"/>
      <c r="Z828" s="12"/>
      <c r="AB828" s="12"/>
      <c r="AC828" s="12"/>
    </row>
    <row r="829" spans="1:29" ht="13.5" customHeight="1">
      <c r="A829" s="96">
        <f>A828+1</f>
        <v>643</v>
      </c>
      <c r="B829" s="241" t="s">
        <v>568</v>
      </c>
      <c r="C829" s="97">
        <f t="shared" si="175"/>
        <v>647970</v>
      </c>
      <c r="D829" s="86">
        <f t="shared" si="176"/>
        <v>0</v>
      </c>
      <c r="E829" s="86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>
        <v>647970</v>
      </c>
      <c r="X829" s="97"/>
      <c r="Y829" s="14"/>
      <c r="Z829" s="12"/>
      <c r="AB829" s="12"/>
      <c r="AC829" s="12"/>
    </row>
    <row r="830" spans="1:29" ht="13.5" customHeight="1">
      <c r="A830" s="96">
        <f>A829+1</f>
        <v>644</v>
      </c>
      <c r="B830" s="241" t="s">
        <v>566</v>
      </c>
      <c r="C830" s="97">
        <f t="shared" si="175"/>
        <v>224197</v>
      </c>
      <c r="D830" s="86">
        <f t="shared" si="176"/>
        <v>0</v>
      </c>
      <c r="E830" s="86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>
        <v>224197</v>
      </c>
      <c r="X830" s="97"/>
      <c r="Y830" s="14"/>
      <c r="Z830" s="12"/>
      <c r="AB830" s="12"/>
      <c r="AC830" s="12"/>
    </row>
    <row r="831" spans="1:29" ht="12.75" customHeight="1">
      <c r="A831" s="96">
        <f>A830+1</f>
        <v>645</v>
      </c>
      <c r="B831" s="241" t="s">
        <v>567</v>
      </c>
      <c r="C831" s="97">
        <f t="shared" si="175"/>
        <v>144702</v>
      </c>
      <c r="D831" s="86">
        <f t="shared" si="176"/>
        <v>0</v>
      </c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>
        <v>144702</v>
      </c>
      <c r="X831" s="97"/>
      <c r="Y831" s="14"/>
      <c r="Z831" s="12"/>
      <c r="AB831" s="12"/>
      <c r="AC831" s="12"/>
    </row>
    <row r="832" spans="1:29" ht="12.75" customHeight="1">
      <c r="A832" s="130" t="s">
        <v>597</v>
      </c>
      <c r="B832" s="130"/>
      <c r="C832" s="97">
        <f aca="true" t="shared" si="177" ref="C832:X832">SUM(C826:C831)</f>
        <v>2127920</v>
      </c>
      <c r="D832" s="97">
        <f t="shared" si="177"/>
        <v>0</v>
      </c>
      <c r="E832" s="97">
        <f t="shared" si="177"/>
        <v>0</v>
      </c>
      <c r="F832" s="97">
        <f t="shared" si="177"/>
        <v>0</v>
      </c>
      <c r="G832" s="97">
        <f t="shared" si="177"/>
        <v>0</v>
      </c>
      <c r="H832" s="97">
        <f t="shared" si="177"/>
        <v>0</v>
      </c>
      <c r="I832" s="97">
        <f t="shared" si="177"/>
        <v>0</v>
      </c>
      <c r="J832" s="97">
        <f t="shared" si="177"/>
        <v>0</v>
      </c>
      <c r="K832" s="97">
        <f t="shared" si="177"/>
        <v>0</v>
      </c>
      <c r="L832" s="97">
        <f t="shared" si="177"/>
        <v>0</v>
      </c>
      <c r="M832" s="97">
        <f t="shared" si="177"/>
        <v>0</v>
      </c>
      <c r="N832" s="97">
        <f t="shared" si="177"/>
        <v>0</v>
      </c>
      <c r="O832" s="97">
        <f t="shared" si="177"/>
        <v>0</v>
      </c>
      <c r="P832" s="97">
        <f t="shared" si="177"/>
        <v>0</v>
      </c>
      <c r="Q832" s="97">
        <f t="shared" si="177"/>
        <v>0</v>
      </c>
      <c r="R832" s="97">
        <f t="shared" si="177"/>
        <v>0</v>
      </c>
      <c r="S832" s="97">
        <f t="shared" si="177"/>
        <v>0</v>
      </c>
      <c r="T832" s="97">
        <f t="shared" si="177"/>
        <v>0</v>
      </c>
      <c r="U832" s="97">
        <f t="shared" si="177"/>
        <v>0</v>
      </c>
      <c r="V832" s="97">
        <f t="shared" si="177"/>
        <v>0</v>
      </c>
      <c r="W832" s="97">
        <f t="shared" si="177"/>
        <v>2127920</v>
      </c>
      <c r="X832" s="97">
        <f t="shared" si="177"/>
        <v>0</v>
      </c>
      <c r="Y832" s="14"/>
      <c r="Z832" s="12"/>
      <c r="AB832" s="12"/>
      <c r="AC832" s="12"/>
    </row>
    <row r="833" spans="1:29" ht="12.75" customHeight="1">
      <c r="A833" s="123" t="s">
        <v>698</v>
      </c>
      <c r="B833" s="123"/>
      <c r="C833" s="123"/>
      <c r="D833" s="127"/>
      <c r="E833" s="127"/>
      <c r="F833" s="127"/>
      <c r="G833" s="127"/>
      <c r="H833" s="127"/>
      <c r="I833" s="127"/>
      <c r="J833" s="127"/>
      <c r="K833" s="127"/>
      <c r="L833" s="127"/>
      <c r="M833" s="127"/>
      <c r="N833" s="127"/>
      <c r="O833" s="127"/>
      <c r="P833" s="127"/>
      <c r="Q833" s="127"/>
      <c r="R833" s="127"/>
      <c r="S833" s="127"/>
      <c r="T833" s="127"/>
      <c r="U833" s="127"/>
      <c r="V833" s="127"/>
      <c r="W833" s="127"/>
      <c r="X833" s="127"/>
      <c r="Y833" s="14"/>
      <c r="Z833" s="12"/>
      <c r="AB833" s="12"/>
      <c r="AC833" s="12"/>
    </row>
    <row r="834" spans="1:29" ht="12.75" customHeight="1">
      <c r="A834" s="10">
        <f>A831+1</f>
        <v>646</v>
      </c>
      <c r="B834" s="13" t="s">
        <v>569</v>
      </c>
      <c r="C834" s="97">
        <f>D834+K834+M834+O834+Q834+S834+U834+V834+W834+X834</f>
        <v>121037</v>
      </c>
      <c r="D834" s="86">
        <f>E834+F834+G834+H834+I834</f>
        <v>0</v>
      </c>
      <c r="E834" s="86"/>
      <c r="F834" s="86"/>
      <c r="G834" s="86"/>
      <c r="H834" s="86"/>
      <c r="I834" s="86"/>
      <c r="J834" s="86"/>
      <c r="K834" s="86"/>
      <c r="L834" s="86"/>
      <c r="M834" s="86"/>
      <c r="N834" s="97"/>
      <c r="O834" s="97"/>
      <c r="P834" s="86"/>
      <c r="Q834" s="86"/>
      <c r="R834" s="86"/>
      <c r="S834" s="86"/>
      <c r="T834" s="97"/>
      <c r="U834" s="97"/>
      <c r="V834" s="97"/>
      <c r="W834" s="97">
        <v>121037</v>
      </c>
      <c r="X834" s="97"/>
      <c r="Y834" s="14"/>
      <c r="Z834" s="12"/>
      <c r="AB834" s="12"/>
      <c r="AC834" s="12"/>
    </row>
    <row r="835" spans="1:29" ht="12.75" customHeight="1">
      <c r="A835" s="130" t="s">
        <v>597</v>
      </c>
      <c r="B835" s="130"/>
      <c r="C835" s="97">
        <f>SUM(C834:C834)</f>
        <v>121037</v>
      </c>
      <c r="D835" s="97">
        <f aca="true" t="shared" si="178" ref="D835:X835">SUM(D834:D834)</f>
        <v>0</v>
      </c>
      <c r="E835" s="97">
        <f t="shared" si="178"/>
        <v>0</v>
      </c>
      <c r="F835" s="97">
        <f t="shared" si="178"/>
        <v>0</v>
      </c>
      <c r="G835" s="97">
        <f t="shared" si="178"/>
        <v>0</v>
      </c>
      <c r="H835" s="97">
        <f t="shared" si="178"/>
        <v>0</v>
      </c>
      <c r="I835" s="97">
        <f t="shared" si="178"/>
        <v>0</v>
      </c>
      <c r="J835" s="97">
        <f t="shared" si="178"/>
        <v>0</v>
      </c>
      <c r="K835" s="97">
        <f t="shared" si="178"/>
        <v>0</v>
      </c>
      <c r="L835" s="97">
        <f t="shared" si="178"/>
        <v>0</v>
      </c>
      <c r="M835" s="97">
        <f t="shared" si="178"/>
        <v>0</v>
      </c>
      <c r="N835" s="97">
        <f t="shared" si="178"/>
        <v>0</v>
      </c>
      <c r="O835" s="97">
        <f t="shared" si="178"/>
        <v>0</v>
      </c>
      <c r="P835" s="97">
        <f t="shared" si="178"/>
        <v>0</v>
      </c>
      <c r="Q835" s="97">
        <f t="shared" si="178"/>
        <v>0</v>
      </c>
      <c r="R835" s="97">
        <f t="shared" si="178"/>
        <v>0</v>
      </c>
      <c r="S835" s="97">
        <f t="shared" si="178"/>
        <v>0</v>
      </c>
      <c r="T835" s="97">
        <f t="shared" si="178"/>
        <v>0</v>
      </c>
      <c r="U835" s="97">
        <f t="shared" si="178"/>
        <v>0</v>
      </c>
      <c r="V835" s="97">
        <f t="shared" si="178"/>
        <v>0</v>
      </c>
      <c r="W835" s="97">
        <f t="shared" si="178"/>
        <v>121037</v>
      </c>
      <c r="X835" s="97">
        <f t="shared" si="178"/>
        <v>0</v>
      </c>
      <c r="Y835" s="14"/>
      <c r="Z835" s="12"/>
      <c r="AA835" s="12"/>
      <c r="AB835" s="12"/>
      <c r="AC835" s="12"/>
    </row>
    <row r="836" spans="1:29" ht="12.75" customHeight="1">
      <c r="A836" s="128" t="s">
        <v>669</v>
      </c>
      <c r="B836" s="129"/>
      <c r="C836" s="135"/>
      <c r="D836" s="127"/>
      <c r="E836" s="127"/>
      <c r="F836" s="127"/>
      <c r="G836" s="127"/>
      <c r="H836" s="127"/>
      <c r="I836" s="127"/>
      <c r="J836" s="127"/>
      <c r="K836" s="127"/>
      <c r="L836" s="127"/>
      <c r="M836" s="127"/>
      <c r="N836" s="127"/>
      <c r="O836" s="127"/>
      <c r="P836" s="127"/>
      <c r="Q836" s="127"/>
      <c r="R836" s="127"/>
      <c r="S836" s="127"/>
      <c r="T836" s="127"/>
      <c r="U836" s="127"/>
      <c r="V836" s="127"/>
      <c r="W836" s="127"/>
      <c r="X836" s="127"/>
      <c r="Y836" s="14"/>
      <c r="Z836" s="12"/>
      <c r="AB836" s="12"/>
      <c r="AC836" s="12"/>
    </row>
    <row r="837" spans="1:29" ht="12.75" customHeight="1">
      <c r="A837" s="40">
        <f>A834+1</f>
        <v>647</v>
      </c>
      <c r="B837" s="87" t="s">
        <v>553</v>
      </c>
      <c r="C837" s="97">
        <f aca="true" t="shared" si="179" ref="C837:C851">D837+K837+M837+O837+Q837+S837+U837+V837+W837+X837</f>
        <v>1000000</v>
      </c>
      <c r="D837" s="86">
        <f aca="true" t="shared" si="180" ref="D837:D851">E837+F837+G837+H837+I837</f>
        <v>0</v>
      </c>
      <c r="E837" s="90"/>
      <c r="F837" s="83"/>
      <c r="G837" s="83"/>
      <c r="H837" s="83"/>
      <c r="I837" s="83"/>
      <c r="J837" s="83"/>
      <c r="K837" s="83"/>
      <c r="L837" s="97">
        <v>167</v>
      </c>
      <c r="M837" s="97">
        <v>500000</v>
      </c>
      <c r="N837" s="97"/>
      <c r="O837" s="97"/>
      <c r="P837" s="97">
        <v>180</v>
      </c>
      <c r="Q837" s="97">
        <v>500000</v>
      </c>
      <c r="R837" s="83"/>
      <c r="S837" s="83"/>
      <c r="T837" s="83"/>
      <c r="U837" s="83"/>
      <c r="V837" s="83"/>
      <c r="W837" s="83"/>
      <c r="X837" s="83"/>
      <c r="Y837" s="14"/>
      <c r="Z837" s="12"/>
      <c r="AB837" s="12"/>
      <c r="AC837" s="12"/>
    </row>
    <row r="838" spans="1:29" ht="12.75" customHeight="1">
      <c r="A838" s="40">
        <f>A837+1</f>
        <v>648</v>
      </c>
      <c r="B838" s="87" t="s">
        <v>552</v>
      </c>
      <c r="C838" s="97">
        <f t="shared" si="179"/>
        <v>1500000</v>
      </c>
      <c r="D838" s="86">
        <f t="shared" si="180"/>
        <v>0</v>
      </c>
      <c r="E838" s="90"/>
      <c r="F838" s="83"/>
      <c r="G838" s="83"/>
      <c r="H838" s="83"/>
      <c r="I838" s="83"/>
      <c r="J838" s="83"/>
      <c r="K838" s="83"/>
      <c r="L838" s="97"/>
      <c r="M838" s="97"/>
      <c r="N838" s="97"/>
      <c r="O838" s="97"/>
      <c r="P838" s="97">
        <v>908</v>
      </c>
      <c r="Q838" s="97">
        <v>1500000</v>
      </c>
      <c r="R838" s="83"/>
      <c r="S838" s="83"/>
      <c r="T838" s="83"/>
      <c r="U838" s="83"/>
      <c r="V838" s="83"/>
      <c r="W838" s="83"/>
      <c r="X838" s="83"/>
      <c r="Y838" s="14"/>
      <c r="Z838" s="12"/>
      <c r="AB838" s="12"/>
      <c r="AC838" s="12"/>
    </row>
    <row r="839" spans="1:29" ht="12.75" customHeight="1">
      <c r="A839" s="40">
        <f aca="true" t="shared" si="181" ref="A839:A851">A838+1</f>
        <v>649</v>
      </c>
      <c r="B839" s="87" t="s">
        <v>551</v>
      </c>
      <c r="C839" s="97">
        <f t="shared" si="179"/>
        <v>15114678</v>
      </c>
      <c r="D839" s="86">
        <f t="shared" si="180"/>
        <v>0</v>
      </c>
      <c r="E839" s="90"/>
      <c r="F839" s="83"/>
      <c r="G839" s="83"/>
      <c r="H839" s="83"/>
      <c r="I839" s="83"/>
      <c r="J839" s="96">
        <v>5</v>
      </c>
      <c r="K839" s="97">
        <v>14000000</v>
      </c>
      <c r="L839" s="97"/>
      <c r="M839" s="97"/>
      <c r="N839" s="97"/>
      <c r="O839" s="97"/>
      <c r="P839" s="97"/>
      <c r="Q839" s="97"/>
      <c r="R839" s="83"/>
      <c r="S839" s="83"/>
      <c r="T839" s="83"/>
      <c r="U839" s="83"/>
      <c r="V839" s="83"/>
      <c r="W839" s="97">
        <v>1114678</v>
      </c>
      <c r="X839" s="83"/>
      <c r="Y839" s="14"/>
      <c r="Z839" s="12"/>
      <c r="AB839" s="12"/>
      <c r="AC839" s="12"/>
    </row>
    <row r="840" spans="1:29" ht="12.75" customHeight="1">
      <c r="A840" s="40">
        <f t="shared" si="181"/>
        <v>650</v>
      </c>
      <c r="B840" s="87" t="s">
        <v>554</v>
      </c>
      <c r="C840" s="97">
        <f t="shared" si="179"/>
        <v>1050000</v>
      </c>
      <c r="D840" s="86">
        <f t="shared" si="180"/>
        <v>0</v>
      </c>
      <c r="E840" s="90"/>
      <c r="F840" s="83"/>
      <c r="G840" s="83"/>
      <c r="H840" s="83"/>
      <c r="I840" s="83"/>
      <c r="J840" s="18"/>
      <c r="K840" s="83"/>
      <c r="L840" s="97">
        <v>288</v>
      </c>
      <c r="M840" s="97">
        <v>400000</v>
      </c>
      <c r="N840" s="97"/>
      <c r="O840" s="97"/>
      <c r="P840" s="97">
        <v>190</v>
      </c>
      <c r="Q840" s="97">
        <v>650000</v>
      </c>
      <c r="R840" s="83"/>
      <c r="S840" s="83"/>
      <c r="T840" s="83"/>
      <c r="U840" s="83"/>
      <c r="V840" s="83"/>
      <c r="W840" s="83"/>
      <c r="X840" s="83"/>
      <c r="Y840" s="14"/>
      <c r="Z840" s="12"/>
      <c r="AB840" s="12"/>
      <c r="AC840" s="12"/>
    </row>
    <row r="841" spans="1:29" ht="12.75" customHeight="1">
      <c r="A841" s="40">
        <f t="shared" si="181"/>
        <v>651</v>
      </c>
      <c r="B841" s="87" t="s">
        <v>556</v>
      </c>
      <c r="C841" s="97">
        <f t="shared" si="179"/>
        <v>650000</v>
      </c>
      <c r="D841" s="86">
        <f t="shared" si="180"/>
        <v>0</v>
      </c>
      <c r="E841" s="90"/>
      <c r="F841" s="83"/>
      <c r="G841" s="83"/>
      <c r="H841" s="83"/>
      <c r="I841" s="83"/>
      <c r="J841" s="18"/>
      <c r="K841" s="83"/>
      <c r="L841" s="97"/>
      <c r="M841" s="97"/>
      <c r="N841" s="97"/>
      <c r="O841" s="97"/>
      <c r="P841" s="97">
        <v>200</v>
      </c>
      <c r="Q841" s="97">
        <v>650000</v>
      </c>
      <c r="R841" s="83"/>
      <c r="S841" s="83"/>
      <c r="T841" s="83"/>
      <c r="U841" s="83"/>
      <c r="V841" s="83"/>
      <c r="W841" s="83"/>
      <c r="X841" s="83"/>
      <c r="Y841" s="14"/>
      <c r="Z841" s="12"/>
      <c r="AB841" s="12"/>
      <c r="AC841" s="12"/>
    </row>
    <row r="842" spans="1:29" ht="12.75" customHeight="1">
      <c r="A842" s="40">
        <f t="shared" si="181"/>
        <v>652</v>
      </c>
      <c r="B842" s="87" t="s">
        <v>550</v>
      </c>
      <c r="C842" s="97">
        <f t="shared" si="179"/>
        <v>1600000</v>
      </c>
      <c r="D842" s="86">
        <f t="shared" si="180"/>
        <v>0</v>
      </c>
      <c r="E842" s="90"/>
      <c r="F842" s="83"/>
      <c r="G842" s="83"/>
      <c r="H842" s="83"/>
      <c r="I842" s="83"/>
      <c r="J842" s="18"/>
      <c r="K842" s="83"/>
      <c r="L842" s="97">
        <v>380</v>
      </c>
      <c r="M842" s="97">
        <v>800000</v>
      </c>
      <c r="N842" s="97"/>
      <c r="O842" s="97"/>
      <c r="P842" s="97">
        <v>176</v>
      </c>
      <c r="Q842" s="97">
        <v>800000</v>
      </c>
      <c r="R842" s="83"/>
      <c r="S842" s="83"/>
      <c r="T842" s="83"/>
      <c r="U842" s="83"/>
      <c r="V842" s="83"/>
      <c r="W842" s="83"/>
      <c r="X842" s="83"/>
      <c r="Y842" s="14"/>
      <c r="Z842" s="12"/>
      <c r="AB842" s="12"/>
      <c r="AC842" s="12"/>
    </row>
    <row r="843" spans="1:29" ht="12.75" customHeight="1">
      <c r="A843" s="40">
        <f t="shared" si="181"/>
        <v>653</v>
      </c>
      <c r="B843" s="87" t="s">
        <v>555</v>
      </c>
      <c r="C843" s="97">
        <f t="shared" si="179"/>
        <v>800000</v>
      </c>
      <c r="D843" s="86">
        <f t="shared" si="180"/>
        <v>0</v>
      </c>
      <c r="E843" s="90"/>
      <c r="F843" s="83"/>
      <c r="G843" s="83"/>
      <c r="H843" s="83"/>
      <c r="I843" s="83"/>
      <c r="J843" s="18"/>
      <c r="K843" s="83"/>
      <c r="L843" s="97"/>
      <c r="M843" s="97"/>
      <c r="N843" s="97"/>
      <c r="O843" s="97"/>
      <c r="P843" s="97">
        <v>192</v>
      </c>
      <c r="Q843" s="97">
        <v>800000</v>
      </c>
      <c r="R843" s="83"/>
      <c r="S843" s="83"/>
      <c r="T843" s="83"/>
      <c r="U843" s="83"/>
      <c r="V843" s="83"/>
      <c r="W843" s="83"/>
      <c r="X843" s="83"/>
      <c r="Y843" s="14"/>
      <c r="Z843" s="12"/>
      <c r="AB843" s="12"/>
      <c r="AC843" s="12"/>
    </row>
    <row r="844" spans="1:29" ht="12.75" customHeight="1">
      <c r="A844" s="40">
        <f t="shared" si="181"/>
        <v>654</v>
      </c>
      <c r="B844" s="87" t="s">
        <v>558</v>
      </c>
      <c r="C844" s="97">
        <f t="shared" si="179"/>
        <v>800000</v>
      </c>
      <c r="D844" s="86">
        <f t="shared" si="180"/>
        <v>0</v>
      </c>
      <c r="E844" s="90"/>
      <c r="F844" s="83"/>
      <c r="G844" s="83"/>
      <c r="H844" s="83"/>
      <c r="I844" s="83"/>
      <c r="J844" s="18"/>
      <c r="K844" s="83"/>
      <c r="L844" s="97"/>
      <c r="M844" s="97"/>
      <c r="N844" s="97"/>
      <c r="O844" s="97"/>
      <c r="P844" s="97">
        <v>203</v>
      </c>
      <c r="Q844" s="97">
        <v>800000</v>
      </c>
      <c r="R844" s="83"/>
      <c r="S844" s="83"/>
      <c r="T844" s="83"/>
      <c r="U844" s="83"/>
      <c r="V844" s="83"/>
      <c r="W844" s="83"/>
      <c r="X844" s="83"/>
      <c r="Y844" s="14"/>
      <c r="Z844" s="12"/>
      <c r="AB844" s="12"/>
      <c r="AC844" s="12"/>
    </row>
    <row r="845" spans="1:29" ht="12.75" customHeight="1">
      <c r="A845" s="40">
        <f t="shared" si="181"/>
        <v>655</v>
      </c>
      <c r="B845" s="87" t="s">
        <v>557</v>
      </c>
      <c r="C845" s="97">
        <f t="shared" si="179"/>
        <v>917187</v>
      </c>
      <c r="D845" s="86">
        <f t="shared" si="180"/>
        <v>0</v>
      </c>
      <c r="E845" s="90"/>
      <c r="F845" s="83"/>
      <c r="G845" s="83"/>
      <c r="H845" s="83"/>
      <c r="I845" s="83"/>
      <c r="J845" s="18"/>
      <c r="K845" s="83"/>
      <c r="L845" s="97"/>
      <c r="M845" s="97"/>
      <c r="N845" s="97"/>
      <c r="O845" s="97"/>
      <c r="P845" s="97">
        <v>252</v>
      </c>
      <c r="Q845" s="97">
        <v>800000</v>
      </c>
      <c r="R845" s="83"/>
      <c r="S845" s="83"/>
      <c r="T845" s="83"/>
      <c r="U845" s="83"/>
      <c r="V845" s="83"/>
      <c r="W845" s="97">
        <v>117187</v>
      </c>
      <c r="X845" s="83"/>
      <c r="Y845" s="14"/>
      <c r="Z845" s="12"/>
      <c r="AB845" s="12"/>
      <c r="AC845" s="12"/>
    </row>
    <row r="846" spans="1:29" ht="12.75" customHeight="1">
      <c r="A846" s="40">
        <f t="shared" si="181"/>
        <v>656</v>
      </c>
      <c r="B846" s="48" t="s">
        <v>841</v>
      </c>
      <c r="C846" s="97">
        <f t="shared" si="179"/>
        <v>600000</v>
      </c>
      <c r="D846" s="86">
        <f t="shared" si="180"/>
        <v>0</v>
      </c>
      <c r="E846" s="90"/>
      <c r="F846" s="83"/>
      <c r="G846" s="83"/>
      <c r="H846" s="83"/>
      <c r="I846" s="83"/>
      <c r="J846" s="18"/>
      <c r="K846" s="83"/>
      <c r="L846" s="97"/>
      <c r="M846" s="97"/>
      <c r="N846" s="97"/>
      <c r="O846" s="97"/>
      <c r="P846" s="97">
        <v>136</v>
      </c>
      <c r="Q846" s="97">
        <v>600000</v>
      </c>
      <c r="R846" s="83"/>
      <c r="S846" s="83"/>
      <c r="T846" s="83"/>
      <c r="U846" s="83"/>
      <c r="V846" s="83"/>
      <c r="W846" s="83"/>
      <c r="X846" s="83"/>
      <c r="Y846" s="14"/>
      <c r="Z846" s="12"/>
      <c r="AB846" s="12"/>
      <c r="AC846" s="12"/>
    </row>
    <row r="847" spans="1:29" ht="12.75" customHeight="1">
      <c r="A847" s="40">
        <f t="shared" si="181"/>
        <v>657</v>
      </c>
      <c r="B847" s="53" t="s">
        <v>559</v>
      </c>
      <c r="C847" s="97">
        <f t="shared" si="179"/>
        <v>604050</v>
      </c>
      <c r="D847" s="86">
        <f t="shared" si="180"/>
        <v>0</v>
      </c>
      <c r="E847" s="90"/>
      <c r="F847" s="83"/>
      <c r="G847" s="83"/>
      <c r="H847" s="83"/>
      <c r="I847" s="83"/>
      <c r="J847" s="18"/>
      <c r="K847" s="83"/>
      <c r="L847" s="97"/>
      <c r="M847" s="97"/>
      <c r="N847" s="97"/>
      <c r="O847" s="97"/>
      <c r="P847" s="97">
        <v>104</v>
      </c>
      <c r="Q847" s="97">
        <v>500000</v>
      </c>
      <c r="R847" s="83"/>
      <c r="S847" s="83"/>
      <c r="T847" s="83"/>
      <c r="U847" s="83"/>
      <c r="V847" s="83"/>
      <c r="W847" s="97">
        <v>104050</v>
      </c>
      <c r="X847" s="83"/>
      <c r="Y847" s="14"/>
      <c r="Z847" s="12"/>
      <c r="AB847" s="12"/>
      <c r="AC847" s="12"/>
    </row>
    <row r="848" spans="1:29" ht="12.75" customHeight="1">
      <c r="A848" s="40">
        <f t="shared" si="181"/>
        <v>658</v>
      </c>
      <c r="B848" s="53" t="s">
        <v>560</v>
      </c>
      <c r="C848" s="97">
        <f t="shared" si="179"/>
        <v>609698</v>
      </c>
      <c r="D848" s="86">
        <f t="shared" si="180"/>
        <v>0</v>
      </c>
      <c r="E848" s="90"/>
      <c r="F848" s="83"/>
      <c r="G848" s="83"/>
      <c r="H848" s="83"/>
      <c r="I848" s="83"/>
      <c r="J848" s="18"/>
      <c r="K848" s="83"/>
      <c r="L848" s="97"/>
      <c r="M848" s="97"/>
      <c r="N848" s="97"/>
      <c r="O848" s="97"/>
      <c r="P848" s="97">
        <v>104</v>
      </c>
      <c r="Q848" s="97">
        <v>500000</v>
      </c>
      <c r="R848" s="83"/>
      <c r="S848" s="83"/>
      <c r="T848" s="83"/>
      <c r="U848" s="83"/>
      <c r="V848" s="83"/>
      <c r="W848" s="97">
        <v>109698</v>
      </c>
      <c r="X848" s="83"/>
      <c r="Y848" s="14"/>
      <c r="Z848" s="12"/>
      <c r="AB848" s="12"/>
      <c r="AC848" s="12"/>
    </row>
    <row r="849" spans="1:29" ht="12.75" customHeight="1">
      <c r="A849" s="40">
        <f t="shared" si="181"/>
        <v>659</v>
      </c>
      <c r="B849" s="53" t="s">
        <v>561</v>
      </c>
      <c r="C849" s="97">
        <f t="shared" si="179"/>
        <v>608138</v>
      </c>
      <c r="D849" s="86">
        <f t="shared" si="180"/>
        <v>0</v>
      </c>
      <c r="E849" s="90"/>
      <c r="F849" s="83"/>
      <c r="G849" s="83"/>
      <c r="H849" s="83"/>
      <c r="I849" s="83"/>
      <c r="J849" s="18"/>
      <c r="K849" s="83"/>
      <c r="L849" s="97"/>
      <c r="M849" s="97"/>
      <c r="N849" s="97"/>
      <c r="O849" s="97"/>
      <c r="P849" s="97">
        <v>104</v>
      </c>
      <c r="Q849" s="97">
        <v>500000</v>
      </c>
      <c r="R849" s="83"/>
      <c r="S849" s="83"/>
      <c r="T849" s="83"/>
      <c r="U849" s="83"/>
      <c r="V849" s="83"/>
      <c r="W849" s="97">
        <v>108138</v>
      </c>
      <c r="X849" s="83"/>
      <c r="Y849" s="14"/>
      <c r="Z849" s="12"/>
      <c r="AB849" s="12"/>
      <c r="AC849" s="12"/>
    </row>
    <row r="850" spans="1:29" ht="12.75" customHeight="1">
      <c r="A850" s="40">
        <f t="shared" si="181"/>
        <v>660</v>
      </c>
      <c r="B850" s="48" t="s">
        <v>562</v>
      </c>
      <c r="C850" s="97">
        <f t="shared" si="179"/>
        <v>1000000</v>
      </c>
      <c r="D850" s="86">
        <f t="shared" si="180"/>
        <v>0</v>
      </c>
      <c r="E850" s="90"/>
      <c r="F850" s="83"/>
      <c r="G850" s="83"/>
      <c r="H850" s="83"/>
      <c r="I850" s="83"/>
      <c r="J850" s="18"/>
      <c r="K850" s="83"/>
      <c r="L850" s="97"/>
      <c r="M850" s="97"/>
      <c r="N850" s="97"/>
      <c r="O850" s="97"/>
      <c r="P850" s="97">
        <v>213.5</v>
      </c>
      <c r="Q850" s="97">
        <v>1000000</v>
      </c>
      <c r="R850" s="83"/>
      <c r="S850" s="83"/>
      <c r="T850" s="83"/>
      <c r="U850" s="83"/>
      <c r="V850" s="83"/>
      <c r="W850" s="83"/>
      <c r="X850" s="83"/>
      <c r="Y850" s="14"/>
      <c r="Z850" s="12"/>
      <c r="AB850" s="12"/>
      <c r="AC850" s="12"/>
    </row>
    <row r="851" spans="1:29" ht="12.75" customHeight="1">
      <c r="A851" s="40">
        <f t="shared" si="181"/>
        <v>661</v>
      </c>
      <c r="B851" s="53" t="s">
        <v>840</v>
      </c>
      <c r="C851" s="97">
        <f t="shared" si="179"/>
        <v>800000</v>
      </c>
      <c r="D851" s="86">
        <f t="shared" si="180"/>
        <v>0</v>
      </c>
      <c r="E851" s="83"/>
      <c r="F851" s="83"/>
      <c r="G851" s="83"/>
      <c r="H851" s="83"/>
      <c r="I851" s="83"/>
      <c r="J851" s="18"/>
      <c r="K851" s="83"/>
      <c r="L851" s="97">
        <v>465</v>
      </c>
      <c r="M851" s="97">
        <v>800000</v>
      </c>
      <c r="N851" s="97"/>
      <c r="O851" s="97"/>
      <c r="P851" s="97"/>
      <c r="Q851" s="97"/>
      <c r="R851" s="83"/>
      <c r="S851" s="83"/>
      <c r="T851" s="83"/>
      <c r="U851" s="83"/>
      <c r="V851" s="83"/>
      <c r="W851" s="97"/>
      <c r="X851" s="83"/>
      <c r="Y851" s="14"/>
      <c r="Z851" s="12"/>
      <c r="AB851" s="12"/>
      <c r="AC851" s="12"/>
    </row>
    <row r="852" spans="1:29" ht="12.75" customHeight="1">
      <c r="A852" s="134" t="s">
        <v>597</v>
      </c>
      <c r="B852" s="134"/>
      <c r="C852" s="97">
        <f aca="true" t="shared" si="182" ref="C852:X852">SUM(C837:C851)</f>
        <v>27653751</v>
      </c>
      <c r="D852" s="97">
        <f t="shared" si="182"/>
        <v>0</v>
      </c>
      <c r="E852" s="97">
        <f t="shared" si="182"/>
        <v>0</v>
      </c>
      <c r="F852" s="97">
        <f t="shared" si="182"/>
        <v>0</v>
      </c>
      <c r="G852" s="97">
        <f t="shared" si="182"/>
        <v>0</v>
      </c>
      <c r="H852" s="97">
        <f t="shared" si="182"/>
        <v>0</v>
      </c>
      <c r="I852" s="97">
        <f t="shared" si="182"/>
        <v>0</v>
      </c>
      <c r="J852" s="96">
        <f t="shared" si="182"/>
        <v>5</v>
      </c>
      <c r="K852" s="97">
        <f t="shared" si="182"/>
        <v>14000000</v>
      </c>
      <c r="L852" s="97">
        <f t="shared" si="182"/>
        <v>1300</v>
      </c>
      <c r="M852" s="97">
        <f t="shared" si="182"/>
        <v>2500000</v>
      </c>
      <c r="N852" s="97">
        <f t="shared" si="182"/>
        <v>0</v>
      </c>
      <c r="O852" s="97">
        <f t="shared" si="182"/>
        <v>0</v>
      </c>
      <c r="P852" s="97">
        <f t="shared" si="182"/>
        <v>2962.5</v>
      </c>
      <c r="Q852" s="97">
        <f t="shared" si="182"/>
        <v>9600000</v>
      </c>
      <c r="R852" s="97">
        <f t="shared" si="182"/>
        <v>0</v>
      </c>
      <c r="S852" s="97">
        <f t="shared" si="182"/>
        <v>0</v>
      </c>
      <c r="T852" s="97">
        <f t="shared" si="182"/>
        <v>0</v>
      </c>
      <c r="U852" s="97">
        <f t="shared" si="182"/>
        <v>0</v>
      </c>
      <c r="V852" s="97">
        <f t="shared" si="182"/>
        <v>0</v>
      </c>
      <c r="W852" s="97">
        <f t="shared" si="182"/>
        <v>1553751</v>
      </c>
      <c r="X852" s="97">
        <f t="shared" si="182"/>
        <v>0</v>
      </c>
      <c r="Y852" s="14"/>
      <c r="Z852" s="12"/>
      <c r="AB852" s="12"/>
      <c r="AC852" s="12"/>
    </row>
    <row r="853" spans="1:29" ht="12.75" customHeight="1">
      <c r="A853" s="123" t="s">
        <v>699</v>
      </c>
      <c r="B853" s="123"/>
      <c r="C853" s="123"/>
      <c r="D853" s="127"/>
      <c r="E853" s="127"/>
      <c r="F853" s="127"/>
      <c r="G853" s="127"/>
      <c r="H853" s="127"/>
      <c r="I853" s="127"/>
      <c r="J853" s="127"/>
      <c r="K853" s="127"/>
      <c r="L853" s="127"/>
      <c r="M853" s="127"/>
      <c r="N853" s="127"/>
      <c r="O853" s="127"/>
      <c r="P853" s="127"/>
      <c r="Q853" s="127"/>
      <c r="R853" s="127"/>
      <c r="S853" s="127"/>
      <c r="T853" s="127"/>
      <c r="U853" s="127"/>
      <c r="V853" s="127"/>
      <c r="W853" s="127"/>
      <c r="X853" s="127"/>
      <c r="Y853" s="14"/>
      <c r="Z853" s="12"/>
      <c r="AB853" s="12"/>
      <c r="AC853" s="12"/>
    </row>
    <row r="854" spans="1:29" ht="12.75" customHeight="1">
      <c r="A854" s="96">
        <f>A851+1</f>
        <v>662</v>
      </c>
      <c r="B854" s="13" t="s">
        <v>570</v>
      </c>
      <c r="C854" s="97">
        <f>D854+K854+M854+O854+Q854+S854+U854+V854+W854+X854</f>
        <v>1958951</v>
      </c>
      <c r="D854" s="86">
        <f>E854+F854+G854+H854+I854</f>
        <v>0</v>
      </c>
      <c r="E854" s="97"/>
      <c r="F854" s="97"/>
      <c r="G854" s="97"/>
      <c r="H854" s="97"/>
      <c r="I854" s="97"/>
      <c r="J854" s="97"/>
      <c r="K854" s="97"/>
      <c r="L854" s="97">
        <v>357</v>
      </c>
      <c r="M854" s="97">
        <v>690262</v>
      </c>
      <c r="N854" s="97"/>
      <c r="O854" s="97"/>
      <c r="P854" s="97">
        <v>400</v>
      </c>
      <c r="Q854" s="97">
        <v>1268689</v>
      </c>
      <c r="R854" s="97"/>
      <c r="S854" s="97"/>
      <c r="T854" s="97"/>
      <c r="U854" s="97"/>
      <c r="V854" s="97"/>
      <c r="W854" s="97"/>
      <c r="X854" s="97"/>
      <c r="Y854" s="14"/>
      <c r="Z854" s="12"/>
      <c r="AB854" s="12"/>
      <c r="AC854" s="12"/>
    </row>
    <row r="855" spans="1:29" ht="12.75" customHeight="1">
      <c r="A855" s="130" t="s">
        <v>597</v>
      </c>
      <c r="B855" s="130"/>
      <c r="C855" s="97">
        <f>SUM(C854:C854)</f>
        <v>1958951</v>
      </c>
      <c r="D855" s="97">
        <f aca="true" t="shared" si="183" ref="D855:X855">SUM(D854:D854)</f>
        <v>0</v>
      </c>
      <c r="E855" s="97">
        <f t="shared" si="183"/>
        <v>0</v>
      </c>
      <c r="F855" s="97">
        <f t="shared" si="183"/>
        <v>0</v>
      </c>
      <c r="G855" s="97">
        <f t="shared" si="183"/>
        <v>0</v>
      </c>
      <c r="H855" s="97">
        <f t="shared" si="183"/>
        <v>0</v>
      </c>
      <c r="I855" s="97">
        <f t="shared" si="183"/>
        <v>0</v>
      </c>
      <c r="J855" s="97">
        <f t="shared" si="183"/>
        <v>0</v>
      </c>
      <c r="K855" s="97">
        <f t="shared" si="183"/>
        <v>0</v>
      </c>
      <c r="L855" s="97">
        <f t="shared" si="183"/>
        <v>357</v>
      </c>
      <c r="M855" s="97">
        <f t="shared" si="183"/>
        <v>690262</v>
      </c>
      <c r="N855" s="97">
        <f t="shared" si="183"/>
        <v>0</v>
      </c>
      <c r="O855" s="97">
        <f t="shared" si="183"/>
        <v>0</v>
      </c>
      <c r="P855" s="97">
        <f t="shared" si="183"/>
        <v>400</v>
      </c>
      <c r="Q855" s="97">
        <f t="shared" si="183"/>
        <v>1268689</v>
      </c>
      <c r="R855" s="97">
        <f t="shared" si="183"/>
        <v>0</v>
      </c>
      <c r="S855" s="97">
        <f t="shared" si="183"/>
        <v>0</v>
      </c>
      <c r="T855" s="97">
        <f t="shared" si="183"/>
        <v>0</v>
      </c>
      <c r="U855" s="97">
        <f t="shared" si="183"/>
        <v>0</v>
      </c>
      <c r="V855" s="97">
        <f t="shared" si="183"/>
        <v>0</v>
      </c>
      <c r="W855" s="97">
        <f t="shared" si="183"/>
        <v>0</v>
      </c>
      <c r="X855" s="97">
        <f t="shared" si="183"/>
        <v>0</v>
      </c>
      <c r="Y855" s="14"/>
      <c r="Z855" s="12"/>
      <c r="AB855" s="12"/>
      <c r="AC855" s="12"/>
    </row>
    <row r="856" spans="1:29" s="26" customFormat="1" ht="15" customHeight="1">
      <c r="A856" s="120" t="s">
        <v>770</v>
      </c>
      <c r="B856" s="121"/>
      <c r="C856" s="121"/>
      <c r="D856" s="121"/>
      <c r="E856" s="122"/>
      <c r="F856" s="101"/>
      <c r="G856" s="101"/>
      <c r="H856" s="101"/>
      <c r="I856" s="101"/>
      <c r="J856" s="101"/>
      <c r="K856" s="101"/>
      <c r="L856" s="101"/>
      <c r="M856" s="101"/>
      <c r="N856" s="101"/>
      <c r="O856" s="101"/>
      <c r="P856" s="101"/>
      <c r="Q856" s="101"/>
      <c r="R856" s="101"/>
      <c r="S856" s="101"/>
      <c r="T856" s="101"/>
      <c r="U856" s="101"/>
      <c r="V856" s="101"/>
      <c r="W856" s="101"/>
      <c r="X856" s="250"/>
      <c r="Y856" s="267"/>
      <c r="Z856" s="268"/>
      <c r="AA856" s="268"/>
      <c r="AB856" s="12"/>
      <c r="AC856" s="12"/>
    </row>
    <row r="857" spans="1:29" s="26" customFormat="1" ht="15">
      <c r="A857" s="96">
        <f>A854+1</f>
        <v>663</v>
      </c>
      <c r="B857" s="82" t="s">
        <v>771</v>
      </c>
      <c r="C857" s="97">
        <f>D857+K857+M857+O857+Q857+S857+U857+V857+W857+X857</f>
        <v>7422001</v>
      </c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>
        <v>505</v>
      </c>
      <c r="Q857" s="246">
        <v>4544664</v>
      </c>
      <c r="R857" s="97">
        <v>273</v>
      </c>
      <c r="S857" s="246">
        <v>2877337</v>
      </c>
      <c r="T857" s="97"/>
      <c r="U857" s="97"/>
      <c r="V857" s="97"/>
      <c r="W857" s="97"/>
      <c r="X857" s="250"/>
      <c r="Y857" s="267"/>
      <c r="Z857" s="268"/>
      <c r="AA857" s="268"/>
      <c r="AB857" s="12"/>
      <c r="AC857" s="12"/>
    </row>
    <row r="858" spans="1:29" s="26" customFormat="1" ht="15">
      <c r="A858" s="117" t="s">
        <v>597</v>
      </c>
      <c r="B858" s="117"/>
      <c r="C858" s="97">
        <f>SUM(C857)</f>
        <v>7422001</v>
      </c>
      <c r="D858" s="97">
        <f aca="true" t="shared" si="184" ref="D858:X858">SUM(D857)</f>
        <v>0</v>
      </c>
      <c r="E858" s="97">
        <f t="shared" si="184"/>
        <v>0</v>
      </c>
      <c r="F858" s="97">
        <f t="shared" si="184"/>
        <v>0</v>
      </c>
      <c r="G858" s="97">
        <f t="shared" si="184"/>
        <v>0</v>
      </c>
      <c r="H858" s="97">
        <f t="shared" si="184"/>
        <v>0</v>
      </c>
      <c r="I858" s="97">
        <f t="shared" si="184"/>
        <v>0</v>
      </c>
      <c r="J858" s="97">
        <f t="shared" si="184"/>
        <v>0</v>
      </c>
      <c r="K858" s="97">
        <f t="shared" si="184"/>
        <v>0</v>
      </c>
      <c r="L858" s="97">
        <f t="shared" si="184"/>
        <v>0</v>
      </c>
      <c r="M858" s="97">
        <f t="shared" si="184"/>
        <v>0</v>
      </c>
      <c r="N858" s="97">
        <f t="shared" si="184"/>
        <v>0</v>
      </c>
      <c r="O858" s="97">
        <f t="shared" si="184"/>
        <v>0</v>
      </c>
      <c r="P858" s="97">
        <f t="shared" si="184"/>
        <v>505</v>
      </c>
      <c r="Q858" s="97">
        <f t="shared" si="184"/>
        <v>4544664</v>
      </c>
      <c r="R858" s="97">
        <f t="shared" si="184"/>
        <v>273</v>
      </c>
      <c r="S858" s="97">
        <f t="shared" si="184"/>
        <v>2877337</v>
      </c>
      <c r="T858" s="97">
        <f t="shared" si="184"/>
        <v>0</v>
      </c>
      <c r="U858" s="97">
        <f t="shared" si="184"/>
        <v>0</v>
      </c>
      <c r="V858" s="97">
        <f t="shared" si="184"/>
        <v>0</v>
      </c>
      <c r="W858" s="97">
        <f t="shared" si="184"/>
        <v>0</v>
      </c>
      <c r="X858" s="97">
        <f t="shared" si="184"/>
        <v>0</v>
      </c>
      <c r="Y858" s="14"/>
      <c r="Z858" s="12"/>
      <c r="AA858" s="268"/>
      <c r="AB858" s="12"/>
      <c r="AC858" s="12"/>
    </row>
    <row r="859" spans="1:30" s="23" customFormat="1" ht="12.75" customHeight="1">
      <c r="A859" s="123" t="s">
        <v>670</v>
      </c>
      <c r="B859" s="123"/>
      <c r="C859" s="83">
        <f aca="true" t="shared" si="185" ref="C859:X859">C832+C835+C855+C852+C824+C858</f>
        <v>47904263</v>
      </c>
      <c r="D859" s="83">
        <f t="shared" si="185"/>
        <v>2420085</v>
      </c>
      <c r="E859" s="83">
        <f t="shared" si="185"/>
        <v>625084</v>
      </c>
      <c r="F859" s="83">
        <f t="shared" si="185"/>
        <v>0</v>
      </c>
      <c r="G859" s="83">
        <f t="shared" si="185"/>
        <v>566629</v>
      </c>
      <c r="H859" s="83">
        <f t="shared" si="185"/>
        <v>571578</v>
      </c>
      <c r="I859" s="83">
        <f t="shared" si="185"/>
        <v>656794</v>
      </c>
      <c r="J859" s="54">
        <f t="shared" si="185"/>
        <v>5</v>
      </c>
      <c r="K859" s="83">
        <f t="shared" si="185"/>
        <v>14000000</v>
      </c>
      <c r="L859" s="83">
        <f t="shared" si="185"/>
        <v>1657</v>
      </c>
      <c r="M859" s="83">
        <f t="shared" si="185"/>
        <v>3190262</v>
      </c>
      <c r="N859" s="83">
        <f t="shared" si="185"/>
        <v>305</v>
      </c>
      <c r="O859" s="83">
        <f t="shared" si="185"/>
        <v>543322</v>
      </c>
      <c r="P859" s="83">
        <f t="shared" si="185"/>
        <v>4294.5</v>
      </c>
      <c r="Q859" s="83">
        <f t="shared" si="185"/>
        <v>19543672</v>
      </c>
      <c r="R859" s="83">
        <f t="shared" si="185"/>
        <v>578</v>
      </c>
      <c r="S859" s="83">
        <f t="shared" si="185"/>
        <v>4404214</v>
      </c>
      <c r="T859" s="83">
        <f t="shared" si="185"/>
        <v>0</v>
      </c>
      <c r="U859" s="83">
        <f t="shared" si="185"/>
        <v>0</v>
      </c>
      <c r="V859" s="83">
        <f t="shared" si="185"/>
        <v>0</v>
      </c>
      <c r="W859" s="83">
        <f t="shared" si="185"/>
        <v>3802708</v>
      </c>
      <c r="X859" s="83">
        <f t="shared" si="185"/>
        <v>0</v>
      </c>
      <c r="Y859" s="14"/>
      <c r="Z859" s="12"/>
      <c r="AA859" s="12"/>
      <c r="AB859" s="12"/>
      <c r="AC859" s="12"/>
      <c r="AD859" s="80"/>
    </row>
    <row r="860" spans="1:28" ht="12.75">
      <c r="A860" s="132" t="s">
        <v>671</v>
      </c>
      <c r="B860" s="132"/>
      <c r="C860" s="83">
        <f>C859+C820+C729+C695+C650+C620+C609+C563+C526+C491+C401+C363+C342+C280+C225+C186+C71+C46</f>
        <v>1378408438</v>
      </c>
      <c r="D860" s="83">
        <f aca="true" t="shared" si="186" ref="D860:X860">D859+D820+D729+D695+D650+D620+D609+D563+D526+D491+D401+D363+D342+D280+D225+D186+D71+D46</f>
        <v>240823943</v>
      </c>
      <c r="E860" s="83">
        <f t="shared" si="186"/>
        <v>70233753</v>
      </c>
      <c r="F860" s="83">
        <f t="shared" si="186"/>
        <v>114826340</v>
      </c>
      <c r="G860" s="83">
        <f t="shared" si="186"/>
        <v>21915268</v>
      </c>
      <c r="H860" s="83">
        <f t="shared" si="186"/>
        <v>24682153</v>
      </c>
      <c r="I860" s="83">
        <f t="shared" si="186"/>
        <v>9166429</v>
      </c>
      <c r="J860" s="18">
        <f t="shared" si="186"/>
        <v>105</v>
      </c>
      <c r="K860" s="83">
        <f t="shared" si="186"/>
        <v>281170641</v>
      </c>
      <c r="L860" s="83">
        <f t="shared" si="186"/>
        <v>134800.93</v>
      </c>
      <c r="M860" s="83">
        <f t="shared" si="186"/>
        <v>377474155</v>
      </c>
      <c r="N860" s="83">
        <f t="shared" si="186"/>
        <v>18575.7</v>
      </c>
      <c r="O860" s="83">
        <f t="shared" si="186"/>
        <v>18074732</v>
      </c>
      <c r="P860" s="83">
        <f t="shared" si="186"/>
        <v>127521.26</v>
      </c>
      <c r="Q860" s="83">
        <f t="shared" si="186"/>
        <v>240040908</v>
      </c>
      <c r="R860" s="83">
        <f t="shared" si="186"/>
        <v>2409</v>
      </c>
      <c r="S860" s="83">
        <f t="shared" si="186"/>
        <v>14204492</v>
      </c>
      <c r="T860" s="83">
        <f t="shared" si="186"/>
        <v>15343</v>
      </c>
      <c r="U860" s="83">
        <f t="shared" si="186"/>
        <v>79172612</v>
      </c>
      <c r="V860" s="83">
        <f t="shared" si="186"/>
        <v>7314810</v>
      </c>
      <c r="W860" s="83">
        <f t="shared" si="186"/>
        <v>120132145</v>
      </c>
      <c r="X860" s="83">
        <f t="shared" si="186"/>
        <v>0</v>
      </c>
      <c r="Y860" s="14"/>
      <c r="Z860" s="12"/>
      <c r="AA860" s="12"/>
      <c r="AB860" s="12"/>
    </row>
    <row r="861" spans="1:28" ht="12.75" customHeight="1">
      <c r="A861" s="131" t="s">
        <v>672</v>
      </c>
      <c r="B861" s="131"/>
      <c r="C861" s="24">
        <v>26927113</v>
      </c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14"/>
      <c r="Z861" s="12"/>
      <c r="AB861" s="12"/>
    </row>
    <row r="862" spans="1:26" ht="12.75" customHeight="1">
      <c r="A862" s="123" t="s">
        <v>673</v>
      </c>
      <c r="B862" s="123"/>
      <c r="C862" s="24">
        <f>C860+C861</f>
        <v>1405335551</v>
      </c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14"/>
      <c r="Z862" s="12"/>
    </row>
    <row r="864" ht="12.75">
      <c r="C864" s="270"/>
    </row>
  </sheetData>
  <sheetProtection/>
  <mergeCells count="284">
    <mergeCell ref="D259:X259"/>
    <mergeCell ref="A279:B279"/>
    <mergeCell ref="Z468:Z471"/>
    <mergeCell ref="F392:W392"/>
    <mergeCell ref="A490:B490"/>
    <mergeCell ref="A528:C528"/>
    <mergeCell ref="D288:X288"/>
    <mergeCell ref="A266:B266"/>
    <mergeCell ref="A267:C267"/>
    <mergeCell ref="D267:X267"/>
    <mergeCell ref="A526:B526"/>
    <mergeCell ref="A527:X527"/>
    <mergeCell ref="A339:E339"/>
    <mergeCell ref="F339:W339"/>
    <mergeCell ref="A341:B341"/>
    <mergeCell ref="A392:E392"/>
    <mergeCell ref="A362:B362"/>
    <mergeCell ref="A391:B391"/>
    <mergeCell ref="D365:X365"/>
    <mergeCell ref="A365:C365"/>
    <mergeCell ref="A240:B240"/>
    <mergeCell ref="A241:C241"/>
    <mergeCell ref="D241:X241"/>
    <mergeCell ref="D25:X25"/>
    <mergeCell ref="A10:C10"/>
    <mergeCell ref="D55:X55"/>
    <mergeCell ref="A27:B27"/>
    <mergeCell ref="A57:B57"/>
    <mergeCell ref="A45:B45"/>
    <mergeCell ref="A46:B46"/>
    <mergeCell ref="A70:B70"/>
    <mergeCell ref="D5:D6"/>
    <mergeCell ref="E5:I5"/>
    <mergeCell ref="P4:Q6"/>
    <mergeCell ref="L4:M6"/>
    <mergeCell ref="D10:X10"/>
    <mergeCell ref="A25:C25"/>
    <mergeCell ref="A220:E220"/>
    <mergeCell ref="F220:W220"/>
    <mergeCell ref="A219:B219"/>
    <mergeCell ref="A188:E188"/>
    <mergeCell ref="A1:X1"/>
    <mergeCell ref="A3:A7"/>
    <mergeCell ref="B3:B7"/>
    <mergeCell ref="C3:C6"/>
    <mergeCell ref="D3:X3"/>
    <mergeCell ref="R4:S6"/>
    <mergeCell ref="D4:I4"/>
    <mergeCell ref="N4:O6"/>
    <mergeCell ref="V4:V6"/>
    <mergeCell ref="W4:W6"/>
    <mergeCell ref="X4:X6"/>
    <mergeCell ref="D58:X58"/>
    <mergeCell ref="A9:X9"/>
    <mergeCell ref="T4:U6"/>
    <mergeCell ref="J4:K6"/>
    <mergeCell ref="A28:C28"/>
    <mergeCell ref="D28:X28"/>
    <mergeCell ref="A47:X47"/>
    <mergeCell ref="A31:C31"/>
    <mergeCell ref="D31:X31"/>
    <mergeCell ref="A35:B35"/>
    <mergeCell ref="A67:B67"/>
    <mergeCell ref="A61:B61"/>
    <mergeCell ref="A48:C48"/>
    <mergeCell ref="D48:X48"/>
    <mergeCell ref="A50:B50"/>
    <mergeCell ref="A51:C51"/>
    <mergeCell ref="D51:X51"/>
    <mergeCell ref="A54:B54"/>
    <mergeCell ref="A55:C55"/>
    <mergeCell ref="A58:C58"/>
    <mergeCell ref="D183:X183"/>
    <mergeCell ref="A172:C172"/>
    <mergeCell ref="D172:X172"/>
    <mergeCell ref="A182:B182"/>
    <mergeCell ref="A96:B96"/>
    <mergeCell ref="A62:C62"/>
    <mergeCell ref="D62:X62"/>
    <mergeCell ref="A64:B64"/>
    <mergeCell ref="A65:C65"/>
    <mergeCell ref="D65:X65"/>
    <mergeCell ref="A185:B185"/>
    <mergeCell ref="D227:X227"/>
    <mergeCell ref="D97:X97"/>
    <mergeCell ref="A187:X187"/>
    <mergeCell ref="A192:B192"/>
    <mergeCell ref="D92:X92"/>
    <mergeCell ref="A198:B198"/>
    <mergeCell ref="F188:W188"/>
    <mergeCell ref="D193:X193"/>
    <mergeCell ref="A92:C92"/>
    <mergeCell ref="A226:X226"/>
    <mergeCell ref="A193:C193"/>
    <mergeCell ref="A225:B225"/>
    <mergeCell ref="A199:C199"/>
    <mergeCell ref="A287:B287"/>
    <mergeCell ref="D199:X199"/>
    <mergeCell ref="A224:B224"/>
    <mergeCell ref="A227:C227"/>
    <mergeCell ref="A258:B258"/>
    <mergeCell ref="A259:C259"/>
    <mergeCell ref="A281:X281"/>
    <mergeCell ref="A275:C275"/>
    <mergeCell ref="A274:B274"/>
    <mergeCell ref="D275:X275"/>
    <mergeCell ref="A280:B280"/>
    <mergeCell ref="A338:B338"/>
    <mergeCell ref="A282:C282"/>
    <mergeCell ref="D282:X282"/>
    <mergeCell ref="A288:C288"/>
    <mergeCell ref="A364:X364"/>
    <mergeCell ref="A363:B363"/>
    <mergeCell ref="A396:B396"/>
    <mergeCell ref="A342:B342"/>
    <mergeCell ref="A343:X343"/>
    <mergeCell ref="A344:C344"/>
    <mergeCell ref="D344:X344"/>
    <mergeCell ref="A357:B357"/>
    <mergeCell ref="A358:C358"/>
    <mergeCell ref="D358:X358"/>
    <mergeCell ref="A403:C403"/>
    <mergeCell ref="D403:X403"/>
    <mergeCell ref="A397:C397"/>
    <mergeCell ref="D397:X397"/>
    <mergeCell ref="A400:B400"/>
    <mergeCell ref="A451:B451"/>
    <mergeCell ref="A449:C449"/>
    <mergeCell ref="D449:X449"/>
    <mergeCell ref="A402:X402"/>
    <mergeCell ref="A401:B401"/>
    <mergeCell ref="A452:C452"/>
    <mergeCell ref="D452:X452"/>
    <mergeCell ref="A426:B426"/>
    <mergeCell ref="A427:C427"/>
    <mergeCell ref="D427:X427"/>
    <mergeCell ref="A443:B443"/>
    <mergeCell ref="A444:C444"/>
    <mergeCell ref="D444:X444"/>
    <mergeCell ref="A448:B448"/>
    <mergeCell ref="A458:B458"/>
    <mergeCell ref="A459:C459"/>
    <mergeCell ref="D459:X459"/>
    <mergeCell ref="A466:B466"/>
    <mergeCell ref="A467:C467"/>
    <mergeCell ref="D467:X467"/>
    <mergeCell ref="D528:X528"/>
    <mergeCell ref="A541:C541"/>
    <mergeCell ref="D541:X541"/>
    <mergeCell ref="A533:B533"/>
    <mergeCell ref="A491:B491"/>
    <mergeCell ref="A492:X492"/>
    <mergeCell ref="A493:C493"/>
    <mergeCell ref="D493:X493"/>
    <mergeCell ref="A525:B525"/>
    <mergeCell ref="A534:C534"/>
    <mergeCell ref="D534:X534"/>
    <mergeCell ref="A536:B536"/>
    <mergeCell ref="A545:B545"/>
    <mergeCell ref="A546:C546"/>
    <mergeCell ref="D546:X546"/>
    <mergeCell ref="A537:C537"/>
    <mergeCell ref="D537:X537"/>
    <mergeCell ref="A540:B540"/>
    <mergeCell ref="A552:B552"/>
    <mergeCell ref="A563:B563"/>
    <mergeCell ref="A564:X564"/>
    <mergeCell ref="A562:B562"/>
    <mergeCell ref="A553:C553"/>
    <mergeCell ref="D553:X553"/>
    <mergeCell ref="A556:B556"/>
    <mergeCell ref="A557:C557"/>
    <mergeCell ref="D557:X557"/>
    <mergeCell ref="A565:C565"/>
    <mergeCell ref="D565:X565"/>
    <mergeCell ref="A568:B568"/>
    <mergeCell ref="A569:C569"/>
    <mergeCell ref="D569:X569"/>
    <mergeCell ref="A578:B578"/>
    <mergeCell ref="A579:C579"/>
    <mergeCell ref="D579:X579"/>
    <mergeCell ref="A582:B582"/>
    <mergeCell ref="A583:C583"/>
    <mergeCell ref="D583:X583"/>
    <mergeCell ref="A585:B585"/>
    <mergeCell ref="A586:C586"/>
    <mergeCell ref="D586:X586"/>
    <mergeCell ref="A594:B594"/>
    <mergeCell ref="A595:C595"/>
    <mergeCell ref="D595:X595"/>
    <mergeCell ref="A602:B602"/>
    <mergeCell ref="A603:C603"/>
    <mergeCell ref="D603:X603"/>
    <mergeCell ref="A605:B605"/>
    <mergeCell ref="A609:B609"/>
    <mergeCell ref="A610:X610"/>
    <mergeCell ref="A608:B608"/>
    <mergeCell ref="D606:X606"/>
    <mergeCell ref="A606:C606"/>
    <mergeCell ref="A622:C622"/>
    <mergeCell ref="D622:X622"/>
    <mergeCell ref="A629:C629"/>
    <mergeCell ref="D629:X629"/>
    <mergeCell ref="A611:C611"/>
    <mergeCell ref="D611:X611"/>
    <mergeCell ref="A619:B619"/>
    <mergeCell ref="A620:B620"/>
    <mergeCell ref="A621:X621"/>
    <mergeCell ref="A634:B634"/>
    <mergeCell ref="A635:C635"/>
    <mergeCell ref="D635:X635"/>
    <mergeCell ref="A639:B639"/>
    <mergeCell ref="A640:C640"/>
    <mergeCell ref="D640:X640"/>
    <mergeCell ref="A730:X730"/>
    <mergeCell ref="A731:C731"/>
    <mergeCell ref="A645:B645"/>
    <mergeCell ref="A646:C646"/>
    <mergeCell ref="D646:X646"/>
    <mergeCell ref="A649:B649"/>
    <mergeCell ref="A650:B650"/>
    <mergeCell ref="A651:X651"/>
    <mergeCell ref="A658:C658"/>
    <mergeCell ref="D658:X658"/>
    <mergeCell ref="A694:B694"/>
    <mergeCell ref="A655:C655"/>
    <mergeCell ref="D655:X655"/>
    <mergeCell ref="A657:B657"/>
    <mergeCell ref="D805:X805"/>
    <mergeCell ref="A835:B835"/>
    <mergeCell ref="D825:X825"/>
    <mergeCell ref="A696:X696"/>
    <mergeCell ref="A729:B729"/>
    <mergeCell ref="A824:B824"/>
    <mergeCell ref="A819:B819"/>
    <mergeCell ref="A820:B820"/>
    <mergeCell ref="A821:X821"/>
    <mergeCell ref="A856:E856"/>
    <mergeCell ref="F856:W856"/>
    <mergeCell ref="A852:B852"/>
    <mergeCell ref="A825:C825"/>
    <mergeCell ref="A833:C833"/>
    <mergeCell ref="A836:C836"/>
    <mergeCell ref="D836:X836"/>
    <mergeCell ref="A805:C805"/>
    <mergeCell ref="D833:X833"/>
    <mergeCell ref="A861:B861"/>
    <mergeCell ref="A862:B862"/>
    <mergeCell ref="A855:B855"/>
    <mergeCell ref="A859:B859"/>
    <mergeCell ref="A860:B860"/>
    <mergeCell ref="A832:B832"/>
    <mergeCell ref="A853:C853"/>
    <mergeCell ref="D853:X853"/>
    <mergeCell ref="D83:X83"/>
    <mergeCell ref="A858:B858"/>
    <mergeCell ref="A654:B654"/>
    <mergeCell ref="A822:E822"/>
    <mergeCell ref="F822:W822"/>
    <mergeCell ref="A695:B695"/>
    <mergeCell ref="A183:C183"/>
    <mergeCell ref="D731:X731"/>
    <mergeCell ref="A652:C652"/>
    <mergeCell ref="A804:B804"/>
    <mergeCell ref="A68:C68"/>
    <mergeCell ref="A97:C97"/>
    <mergeCell ref="A171:B171"/>
    <mergeCell ref="A71:B71"/>
    <mergeCell ref="A72:X72"/>
    <mergeCell ref="A73:C73"/>
    <mergeCell ref="D73:X73"/>
    <mergeCell ref="A82:B82"/>
    <mergeCell ref="A86:B86"/>
    <mergeCell ref="A83:C83"/>
    <mergeCell ref="D652:X652"/>
    <mergeCell ref="D36:X36"/>
    <mergeCell ref="A36:C36"/>
    <mergeCell ref="A30:B30"/>
    <mergeCell ref="A24:B24"/>
    <mergeCell ref="A186:B186"/>
    <mergeCell ref="A91:B91"/>
    <mergeCell ref="D87:X87"/>
    <mergeCell ref="A87:C87"/>
    <mergeCell ref="D68:X68"/>
  </mergeCells>
  <printOptions horizontalCentered="1"/>
  <pageMargins left="0.15748031496062992" right="0.15748031496062992" top="0.35433070866141736" bottom="0.2362204724409449" header="0.15748031496062992" footer="0.15748031496062992"/>
  <pageSetup fitToHeight="100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64"/>
  <sheetViews>
    <sheetView tabSelected="1" view="pageBreakPreview" zoomScale="80" zoomScaleNormal="90" zoomScaleSheetLayoutView="80" zoomScalePageLayoutView="0" workbookViewId="0" topLeftCell="I1">
      <selection activeCell="V47" sqref="U22:V47"/>
    </sheetView>
  </sheetViews>
  <sheetFormatPr defaultColWidth="9.140625" defaultRowHeight="15"/>
  <cols>
    <col min="1" max="1" width="6.8515625" style="244" customWidth="1"/>
    <col min="2" max="2" width="50.00390625" style="244" customWidth="1"/>
    <col min="3" max="3" width="12.28125" style="245" customWidth="1"/>
    <col min="4" max="4" width="9.57421875" style="244" customWidth="1"/>
    <col min="5" max="5" width="15.421875" style="244" customWidth="1"/>
    <col min="6" max="6" width="8.8515625" style="244" customWidth="1"/>
    <col min="7" max="7" width="10.57421875" style="244" customWidth="1"/>
    <col min="8" max="8" width="12.7109375" style="244" customWidth="1"/>
    <col min="9" max="9" width="13.7109375" style="244" customWidth="1"/>
    <col min="10" max="10" width="12.140625" style="244" customWidth="1"/>
    <col min="11" max="11" width="12.00390625" style="244" bestFit="1" customWidth="1"/>
    <col min="12" max="12" width="17.140625" style="244" customWidth="1"/>
    <col min="13" max="15" width="12.00390625" style="244" bestFit="1" customWidth="1"/>
    <col min="16" max="16" width="17.00390625" style="244" customWidth="1"/>
    <col min="17" max="17" width="13.7109375" style="244" customWidth="1"/>
    <col min="18" max="18" width="12.57421875" style="244" customWidth="1"/>
    <col min="19" max="19" width="14.28125" style="244" customWidth="1"/>
    <col min="20" max="20" width="15.28125" style="244" customWidth="1"/>
    <col min="21" max="21" width="12.140625" style="244" customWidth="1"/>
    <col min="22" max="23" width="9.140625" style="244" customWidth="1"/>
    <col min="24" max="24" width="15.28125" style="244" customWidth="1"/>
    <col min="25" max="16384" width="9.140625" style="244" customWidth="1"/>
  </cols>
  <sheetData>
    <row r="2" spans="1:20" s="2" customFormat="1" ht="12.75">
      <c r="A2" s="175" t="s">
        <v>850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"/>
    </row>
    <row r="3" spans="1:20" s="2" customFormat="1" ht="12.75">
      <c r="A3" s="1"/>
      <c r="B3" s="3"/>
      <c r="C3" s="1"/>
      <c r="D3" s="176" t="s">
        <v>701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"/>
      <c r="S3" s="1"/>
      <c r="T3" s="1"/>
    </row>
    <row r="4" spans="1:20" s="2" customFormat="1" ht="12.75">
      <c r="A4" s="1"/>
      <c r="B4" s="3"/>
      <c r="C4" s="1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1"/>
      <c r="S4" s="1"/>
      <c r="T4" s="1"/>
    </row>
    <row r="5" spans="1:20" s="2" customFormat="1" ht="30" customHeight="1">
      <c r="A5" s="173" t="s">
        <v>60</v>
      </c>
      <c r="B5" s="173" t="s">
        <v>0</v>
      </c>
      <c r="C5" s="177" t="s">
        <v>61</v>
      </c>
      <c r="D5" s="177"/>
      <c r="E5" s="171" t="s">
        <v>62</v>
      </c>
      <c r="F5" s="171" t="s">
        <v>63</v>
      </c>
      <c r="G5" s="171" t="s">
        <v>64</v>
      </c>
      <c r="H5" s="170" t="s">
        <v>65</v>
      </c>
      <c r="I5" s="173" t="s">
        <v>66</v>
      </c>
      <c r="J5" s="173"/>
      <c r="K5" s="170" t="s">
        <v>67</v>
      </c>
      <c r="L5" s="173" t="s">
        <v>68</v>
      </c>
      <c r="M5" s="173"/>
      <c r="N5" s="173"/>
      <c r="O5" s="173"/>
      <c r="P5" s="173"/>
      <c r="Q5" s="174" t="s">
        <v>69</v>
      </c>
      <c r="R5" s="174" t="s">
        <v>70</v>
      </c>
      <c r="S5" s="170" t="s">
        <v>71</v>
      </c>
      <c r="T5" s="170" t="s">
        <v>72</v>
      </c>
    </row>
    <row r="6" spans="1:20" s="2" customFormat="1" ht="15" customHeight="1">
      <c r="A6" s="173"/>
      <c r="B6" s="173"/>
      <c r="C6" s="170" t="s">
        <v>73</v>
      </c>
      <c r="D6" s="170" t="s">
        <v>74</v>
      </c>
      <c r="E6" s="171"/>
      <c r="F6" s="171"/>
      <c r="G6" s="171"/>
      <c r="H6" s="170"/>
      <c r="I6" s="170" t="s">
        <v>75</v>
      </c>
      <c r="J6" s="170" t="s">
        <v>76</v>
      </c>
      <c r="K6" s="170"/>
      <c r="L6" s="170" t="s">
        <v>75</v>
      </c>
      <c r="M6" s="93"/>
      <c r="N6" s="93"/>
      <c r="O6" s="92"/>
      <c r="P6" s="92"/>
      <c r="Q6" s="174"/>
      <c r="R6" s="174"/>
      <c r="S6" s="170"/>
      <c r="T6" s="170"/>
    </row>
    <row r="7" spans="1:20" s="2" customFormat="1" ht="207" customHeight="1">
      <c r="A7" s="173"/>
      <c r="B7" s="173"/>
      <c r="C7" s="170"/>
      <c r="D7" s="170"/>
      <c r="E7" s="171"/>
      <c r="F7" s="171"/>
      <c r="G7" s="171"/>
      <c r="H7" s="170"/>
      <c r="I7" s="170"/>
      <c r="J7" s="170"/>
      <c r="K7" s="170"/>
      <c r="L7" s="170"/>
      <c r="M7" s="93" t="s">
        <v>77</v>
      </c>
      <c r="N7" s="93" t="s">
        <v>78</v>
      </c>
      <c r="O7" s="93" t="s">
        <v>79</v>
      </c>
      <c r="P7" s="93" t="s">
        <v>80</v>
      </c>
      <c r="Q7" s="174"/>
      <c r="R7" s="174"/>
      <c r="S7" s="170"/>
      <c r="T7" s="170"/>
    </row>
    <row r="8" spans="1:20" s="2" customFormat="1" ht="46.5" customHeight="1">
      <c r="A8" s="173"/>
      <c r="B8" s="173"/>
      <c r="C8" s="170"/>
      <c r="D8" s="170"/>
      <c r="E8" s="171"/>
      <c r="F8" s="171"/>
      <c r="G8" s="171"/>
      <c r="H8" s="92" t="s">
        <v>81</v>
      </c>
      <c r="I8" s="92" t="s">
        <v>81</v>
      </c>
      <c r="J8" s="92" t="s">
        <v>81</v>
      </c>
      <c r="K8" s="92" t="s">
        <v>82</v>
      </c>
      <c r="L8" s="92" t="s">
        <v>83</v>
      </c>
      <c r="M8" s="92"/>
      <c r="N8" s="92"/>
      <c r="O8" s="92" t="s">
        <v>83</v>
      </c>
      <c r="P8" s="92" t="s">
        <v>83</v>
      </c>
      <c r="Q8" s="4" t="s">
        <v>84</v>
      </c>
      <c r="R8" s="4" t="s">
        <v>84</v>
      </c>
      <c r="S8" s="170"/>
      <c r="T8" s="170"/>
    </row>
    <row r="9" spans="1:20" s="50" customFormat="1" ht="12.75">
      <c r="A9" s="95">
        <v>1</v>
      </c>
      <c r="B9" s="95">
        <v>2</v>
      </c>
      <c r="C9" s="95">
        <v>3</v>
      </c>
      <c r="D9" s="95">
        <v>4</v>
      </c>
      <c r="E9" s="95">
        <v>5</v>
      </c>
      <c r="F9" s="95">
        <v>6</v>
      </c>
      <c r="G9" s="95">
        <v>7</v>
      </c>
      <c r="H9" s="95">
        <v>8</v>
      </c>
      <c r="I9" s="95">
        <v>9</v>
      </c>
      <c r="J9" s="95">
        <v>10</v>
      </c>
      <c r="K9" s="95">
        <v>11</v>
      </c>
      <c r="L9" s="95">
        <v>12</v>
      </c>
      <c r="M9" s="95">
        <v>13</v>
      </c>
      <c r="N9" s="95">
        <v>14</v>
      </c>
      <c r="O9" s="95">
        <v>15</v>
      </c>
      <c r="P9" s="95">
        <v>16</v>
      </c>
      <c r="Q9" s="95">
        <v>17</v>
      </c>
      <c r="R9" s="95">
        <v>18</v>
      </c>
      <c r="S9" s="95">
        <v>19</v>
      </c>
      <c r="T9" s="92">
        <v>20</v>
      </c>
    </row>
    <row r="10" spans="1:20" s="186" customFormat="1" ht="15">
      <c r="A10" s="179" t="s">
        <v>595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</row>
    <row r="11" spans="1:20" s="186" customFormat="1" ht="18" customHeight="1">
      <c r="A11" s="132" t="s">
        <v>596</v>
      </c>
      <c r="B11" s="132"/>
      <c r="C11" s="132"/>
      <c r="D11" s="132"/>
      <c r="E11" s="132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</row>
    <row r="12" spans="1:20" s="43" customFormat="1" ht="38.25">
      <c r="A12" s="95">
        <v>1</v>
      </c>
      <c r="B12" s="88" t="s">
        <v>708</v>
      </c>
      <c r="C12" s="95">
        <v>1954</v>
      </c>
      <c r="D12" s="95"/>
      <c r="E12" s="92" t="s">
        <v>700</v>
      </c>
      <c r="F12" s="95">
        <v>3</v>
      </c>
      <c r="G12" s="95">
        <v>4</v>
      </c>
      <c r="H12" s="97">
        <v>5794.86</v>
      </c>
      <c r="I12" s="97">
        <v>2761.36</v>
      </c>
      <c r="J12" s="97">
        <v>2335.38</v>
      </c>
      <c r="K12" s="95">
        <v>118</v>
      </c>
      <c r="L12" s="97">
        <f>'виды работ  (2)'!C11</f>
        <v>7157019</v>
      </c>
      <c r="M12" s="97">
        <v>0</v>
      </c>
      <c r="N12" s="97">
        <v>0</v>
      </c>
      <c r="O12" s="97">
        <v>0</v>
      </c>
      <c r="P12" s="97">
        <f>L12</f>
        <v>7157019</v>
      </c>
      <c r="Q12" s="97">
        <f>L12/H12</f>
        <v>1235.0633147306407</v>
      </c>
      <c r="R12" s="97">
        <v>42000</v>
      </c>
      <c r="S12" s="55" t="s">
        <v>843</v>
      </c>
      <c r="T12" s="92" t="s">
        <v>772</v>
      </c>
    </row>
    <row r="13" spans="1:20" s="43" customFormat="1" ht="15">
      <c r="A13" s="95">
        <f>A12+1</f>
        <v>2</v>
      </c>
      <c r="B13" s="88" t="s">
        <v>709</v>
      </c>
      <c r="C13" s="95">
        <v>1967</v>
      </c>
      <c r="D13" s="95"/>
      <c r="E13" s="92" t="s">
        <v>94</v>
      </c>
      <c r="F13" s="95">
        <v>4</v>
      </c>
      <c r="G13" s="95">
        <v>3</v>
      </c>
      <c r="H13" s="97">
        <v>2820.7</v>
      </c>
      <c r="I13" s="97">
        <v>1918.7</v>
      </c>
      <c r="J13" s="97">
        <v>1462.1</v>
      </c>
      <c r="K13" s="95">
        <v>79</v>
      </c>
      <c r="L13" s="97">
        <f>'виды работ  (2)'!C12</f>
        <v>1557274</v>
      </c>
      <c r="M13" s="97">
        <v>0</v>
      </c>
      <c r="N13" s="97">
        <v>0</v>
      </c>
      <c r="O13" s="97">
        <v>0</v>
      </c>
      <c r="P13" s="97">
        <f>L13</f>
        <v>1557274</v>
      </c>
      <c r="Q13" s="97">
        <f>L13/H13</f>
        <v>552.0877796291701</v>
      </c>
      <c r="R13" s="97">
        <v>42000</v>
      </c>
      <c r="S13" s="55" t="s">
        <v>843</v>
      </c>
      <c r="T13" s="92" t="s">
        <v>773</v>
      </c>
    </row>
    <row r="14" spans="1:20" s="186" customFormat="1" ht="18" customHeight="1">
      <c r="A14" s="95">
        <f aca="true" t="shared" si="0" ref="A14:A24">A13+1</f>
        <v>3</v>
      </c>
      <c r="B14" s="189" t="s">
        <v>571</v>
      </c>
      <c r="C14" s="77">
        <v>1955</v>
      </c>
      <c r="D14" s="95"/>
      <c r="E14" s="92" t="s">
        <v>700</v>
      </c>
      <c r="F14" s="77">
        <v>4</v>
      </c>
      <c r="G14" s="77">
        <v>4</v>
      </c>
      <c r="H14" s="71">
        <v>3593.8</v>
      </c>
      <c r="I14" s="71">
        <v>3232.18</v>
      </c>
      <c r="J14" s="77">
        <v>2894.56</v>
      </c>
      <c r="K14" s="77">
        <v>105</v>
      </c>
      <c r="L14" s="97">
        <f>'виды работ  (2)'!C13</f>
        <v>215608</v>
      </c>
      <c r="M14" s="57">
        <v>0</v>
      </c>
      <c r="N14" s="57">
        <v>0</v>
      </c>
      <c r="O14" s="57">
        <v>0</v>
      </c>
      <c r="P14" s="97">
        <f>L14</f>
        <v>215608</v>
      </c>
      <c r="Q14" s="97">
        <f aca="true" t="shared" si="1" ref="Q14:Q72">L14/H14</f>
        <v>59.994434860036726</v>
      </c>
      <c r="R14" s="97">
        <v>42000</v>
      </c>
      <c r="S14" s="55" t="s">
        <v>843</v>
      </c>
      <c r="T14" s="92" t="s">
        <v>773</v>
      </c>
    </row>
    <row r="15" spans="1:20" s="186" customFormat="1" ht="18" customHeight="1">
      <c r="A15" s="95">
        <f t="shared" si="0"/>
        <v>4</v>
      </c>
      <c r="B15" s="189" t="s">
        <v>85</v>
      </c>
      <c r="C15" s="95">
        <v>1953</v>
      </c>
      <c r="D15" s="95"/>
      <c r="E15" s="92" t="s">
        <v>700</v>
      </c>
      <c r="F15" s="95">
        <v>2</v>
      </c>
      <c r="G15" s="95">
        <v>2</v>
      </c>
      <c r="H15" s="97">
        <v>1036.87</v>
      </c>
      <c r="I15" s="97">
        <v>728.14</v>
      </c>
      <c r="J15" s="95">
        <v>728.14</v>
      </c>
      <c r="K15" s="95">
        <v>21</v>
      </c>
      <c r="L15" s="97">
        <f>'виды работ  (2)'!C14</f>
        <v>476746</v>
      </c>
      <c r="M15" s="57">
        <v>0</v>
      </c>
      <c r="N15" s="57">
        <v>0</v>
      </c>
      <c r="O15" s="57">
        <v>0</v>
      </c>
      <c r="P15" s="97">
        <f aca="true" t="shared" si="2" ref="P15:P24">L15</f>
        <v>476746</v>
      </c>
      <c r="Q15" s="97">
        <f t="shared" si="1"/>
        <v>459.7934167253369</v>
      </c>
      <c r="R15" s="97">
        <v>42000</v>
      </c>
      <c r="S15" s="55" t="s">
        <v>843</v>
      </c>
      <c r="T15" s="92" t="s">
        <v>773</v>
      </c>
    </row>
    <row r="16" spans="1:20" s="186" customFormat="1" ht="18" customHeight="1">
      <c r="A16" s="95">
        <f t="shared" si="0"/>
        <v>5</v>
      </c>
      <c r="B16" s="188" t="s">
        <v>91</v>
      </c>
      <c r="C16" s="95">
        <v>1958</v>
      </c>
      <c r="D16" s="77"/>
      <c r="E16" s="92" t="s">
        <v>700</v>
      </c>
      <c r="F16" s="95">
        <v>3</v>
      </c>
      <c r="G16" s="95">
        <v>4</v>
      </c>
      <c r="H16" s="95">
        <v>3127.9</v>
      </c>
      <c r="I16" s="95">
        <v>2013.9</v>
      </c>
      <c r="J16" s="95">
        <v>1844.61</v>
      </c>
      <c r="K16" s="95">
        <v>88</v>
      </c>
      <c r="L16" s="97">
        <f>'виды работ  (2)'!C15</f>
        <v>3040227</v>
      </c>
      <c r="M16" s="57">
        <v>0</v>
      </c>
      <c r="N16" s="57">
        <v>0</v>
      </c>
      <c r="O16" s="57">
        <v>0</v>
      </c>
      <c r="P16" s="97">
        <f t="shared" si="2"/>
        <v>3040227</v>
      </c>
      <c r="Q16" s="97">
        <f t="shared" si="1"/>
        <v>971.9706512356532</v>
      </c>
      <c r="R16" s="97">
        <v>42000</v>
      </c>
      <c r="S16" s="55" t="s">
        <v>843</v>
      </c>
      <c r="T16" s="92" t="s">
        <v>773</v>
      </c>
    </row>
    <row r="17" spans="1:20" s="43" customFormat="1" ht="15">
      <c r="A17" s="95">
        <f t="shared" si="0"/>
        <v>6</v>
      </c>
      <c r="B17" s="88" t="s">
        <v>710</v>
      </c>
      <c r="C17" s="95">
        <v>1959</v>
      </c>
      <c r="D17" s="95"/>
      <c r="E17" s="92" t="s">
        <v>94</v>
      </c>
      <c r="F17" s="95">
        <v>3</v>
      </c>
      <c r="G17" s="95">
        <v>3</v>
      </c>
      <c r="H17" s="97">
        <v>1953.81</v>
      </c>
      <c r="I17" s="97">
        <v>1488.51</v>
      </c>
      <c r="J17" s="97">
        <v>1225.1</v>
      </c>
      <c r="K17" s="95">
        <v>75</v>
      </c>
      <c r="L17" s="97">
        <f>'виды работ  (2)'!C16</f>
        <v>1498391</v>
      </c>
      <c r="M17" s="97">
        <v>0</v>
      </c>
      <c r="N17" s="97">
        <v>0</v>
      </c>
      <c r="O17" s="97">
        <v>0</v>
      </c>
      <c r="P17" s="97">
        <f>L17</f>
        <v>1498391</v>
      </c>
      <c r="Q17" s="97">
        <f>L17/H17</f>
        <v>766.9072222989953</v>
      </c>
      <c r="R17" s="97">
        <v>42000</v>
      </c>
      <c r="S17" s="55" t="s">
        <v>843</v>
      </c>
      <c r="T17" s="92" t="s">
        <v>773</v>
      </c>
    </row>
    <row r="18" spans="1:20" s="43" customFormat="1" ht="15">
      <c r="A18" s="95">
        <f t="shared" si="0"/>
        <v>7</v>
      </c>
      <c r="B18" s="88" t="s">
        <v>711</v>
      </c>
      <c r="C18" s="95">
        <v>1959</v>
      </c>
      <c r="D18" s="95"/>
      <c r="E18" s="92" t="s">
        <v>700</v>
      </c>
      <c r="F18" s="95">
        <v>3</v>
      </c>
      <c r="G18" s="95">
        <v>3</v>
      </c>
      <c r="H18" s="97">
        <v>1960.05</v>
      </c>
      <c r="I18" s="97">
        <v>1494.05</v>
      </c>
      <c r="J18" s="97">
        <v>1286.4</v>
      </c>
      <c r="K18" s="95">
        <v>62</v>
      </c>
      <c r="L18" s="97">
        <f>'виды работ  (2)'!C17</f>
        <v>1498391</v>
      </c>
      <c r="M18" s="97">
        <v>0</v>
      </c>
      <c r="N18" s="97">
        <v>0</v>
      </c>
      <c r="O18" s="97">
        <v>0</v>
      </c>
      <c r="P18" s="97">
        <f>L18</f>
        <v>1498391</v>
      </c>
      <c r="Q18" s="97">
        <f>L18/H18</f>
        <v>764.4657024055509</v>
      </c>
      <c r="R18" s="97">
        <v>42000</v>
      </c>
      <c r="S18" s="55" t="s">
        <v>843</v>
      </c>
      <c r="T18" s="92" t="s">
        <v>773</v>
      </c>
    </row>
    <row r="19" spans="1:20" s="186" customFormat="1" ht="18" customHeight="1">
      <c r="A19" s="95">
        <f t="shared" si="0"/>
        <v>8</v>
      </c>
      <c r="B19" s="188" t="s">
        <v>86</v>
      </c>
      <c r="C19" s="95">
        <v>1961</v>
      </c>
      <c r="D19" s="77"/>
      <c r="E19" s="92" t="s">
        <v>94</v>
      </c>
      <c r="F19" s="95">
        <v>5</v>
      </c>
      <c r="G19" s="95">
        <v>3</v>
      </c>
      <c r="H19" s="97">
        <v>3441.91</v>
      </c>
      <c r="I19" s="97">
        <v>2478.13</v>
      </c>
      <c r="J19" s="95">
        <v>2119.97</v>
      </c>
      <c r="K19" s="95">
        <v>86</v>
      </c>
      <c r="L19" s="97">
        <f>'виды работ  (2)'!C18</f>
        <v>2694572</v>
      </c>
      <c r="M19" s="57">
        <v>0</v>
      </c>
      <c r="N19" s="57">
        <v>0</v>
      </c>
      <c r="O19" s="57">
        <v>0</v>
      </c>
      <c r="P19" s="97">
        <f t="shared" si="2"/>
        <v>2694572</v>
      </c>
      <c r="Q19" s="97">
        <f t="shared" si="1"/>
        <v>782.8711384086162</v>
      </c>
      <c r="R19" s="97">
        <v>42000</v>
      </c>
      <c r="S19" s="55" t="s">
        <v>843</v>
      </c>
      <c r="T19" s="92" t="s">
        <v>773</v>
      </c>
    </row>
    <row r="20" spans="1:20" s="186" customFormat="1" ht="18" customHeight="1">
      <c r="A20" s="95">
        <f t="shared" si="0"/>
        <v>9</v>
      </c>
      <c r="B20" s="188" t="s">
        <v>87</v>
      </c>
      <c r="C20" s="95">
        <v>1954</v>
      </c>
      <c r="D20" s="77"/>
      <c r="E20" s="92" t="s">
        <v>700</v>
      </c>
      <c r="F20" s="95">
        <v>3</v>
      </c>
      <c r="G20" s="95">
        <v>5</v>
      </c>
      <c r="H20" s="95">
        <v>2695.02</v>
      </c>
      <c r="I20" s="95">
        <v>1910.42</v>
      </c>
      <c r="J20" s="95">
        <v>1910.42</v>
      </c>
      <c r="K20" s="95">
        <v>53</v>
      </c>
      <c r="L20" s="97">
        <f>'виды работ  (2)'!C19</f>
        <v>233770</v>
      </c>
      <c r="M20" s="57">
        <v>0</v>
      </c>
      <c r="N20" s="57">
        <v>0</v>
      </c>
      <c r="O20" s="57">
        <v>0</v>
      </c>
      <c r="P20" s="97">
        <f t="shared" si="2"/>
        <v>233770</v>
      </c>
      <c r="Q20" s="97">
        <f t="shared" si="1"/>
        <v>86.74147130633538</v>
      </c>
      <c r="R20" s="97">
        <v>42000</v>
      </c>
      <c r="S20" s="55" t="s">
        <v>843</v>
      </c>
      <c r="T20" s="92" t="s">
        <v>773</v>
      </c>
    </row>
    <row r="21" spans="1:20" s="186" customFormat="1" ht="18" customHeight="1">
      <c r="A21" s="95">
        <f t="shared" si="0"/>
        <v>10</v>
      </c>
      <c r="B21" s="188" t="s">
        <v>88</v>
      </c>
      <c r="C21" s="95">
        <v>1952</v>
      </c>
      <c r="D21" s="77"/>
      <c r="E21" s="92" t="s">
        <v>700</v>
      </c>
      <c r="F21" s="95">
        <v>2</v>
      </c>
      <c r="G21" s="95">
        <v>2</v>
      </c>
      <c r="H21" s="95">
        <v>928.74</v>
      </c>
      <c r="I21" s="95">
        <v>515.36</v>
      </c>
      <c r="J21" s="95">
        <v>515.36</v>
      </c>
      <c r="K21" s="95">
        <v>19</v>
      </c>
      <c r="L21" s="97">
        <f>'виды работ  (2)'!C20</f>
        <v>102229</v>
      </c>
      <c r="M21" s="57">
        <v>0</v>
      </c>
      <c r="N21" s="57">
        <v>0</v>
      </c>
      <c r="O21" s="57">
        <v>0</v>
      </c>
      <c r="P21" s="97">
        <f t="shared" si="2"/>
        <v>102229</v>
      </c>
      <c r="Q21" s="97">
        <f t="shared" si="1"/>
        <v>110.07278678639878</v>
      </c>
      <c r="R21" s="97">
        <v>42000</v>
      </c>
      <c r="S21" s="55" t="s">
        <v>843</v>
      </c>
      <c r="T21" s="92" t="s">
        <v>773</v>
      </c>
    </row>
    <row r="22" spans="1:20" s="186" customFormat="1" ht="18" customHeight="1">
      <c r="A22" s="95">
        <f t="shared" si="0"/>
        <v>11</v>
      </c>
      <c r="B22" s="188" t="s">
        <v>89</v>
      </c>
      <c r="C22" s="95">
        <v>1962</v>
      </c>
      <c r="D22" s="77"/>
      <c r="E22" s="92" t="s">
        <v>94</v>
      </c>
      <c r="F22" s="95">
        <v>4</v>
      </c>
      <c r="G22" s="95">
        <v>3</v>
      </c>
      <c r="H22" s="95">
        <v>2785.24</v>
      </c>
      <c r="I22" s="95">
        <v>2001.28</v>
      </c>
      <c r="J22" s="95">
        <v>1559.6</v>
      </c>
      <c r="K22" s="95">
        <v>80</v>
      </c>
      <c r="L22" s="97">
        <f>'виды работ  (2)'!C21</f>
        <v>2692123</v>
      </c>
      <c r="M22" s="57">
        <v>0</v>
      </c>
      <c r="N22" s="57">
        <v>0</v>
      </c>
      <c r="O22" s="57">
        <v>0</v>
      </c>
      <c r="P22" s="97">
        <f t="shared" si="2"/>
        <v>2692123</v>
      </c>
      <c r="Q22" s="97">
        <f t="shared" si="1"/>
        <v>966.5676925507317</v>
      </c>
      <c r="R22" s="97">
        <v>42000</v>
      </c>
      <c r="S22" s="55" t="s">
        <v>843</v>
      </c>
      <c r="T22" s="92" t="s">
        <v>773</v>
      </c>
    </row>
    <row r="23" spans="1:20" s="186" customFormat="1" ht="18" customHeight="1">
      <c r="A23" s="95">
        <f t="shared" si="0"/>
        <v>12</v>
      </c>
      <c r="B23" s="188" t="s">
        <v>92</v>
      </c>
      <c r="C23" s="95">
        <v>1955</v>
      </c>
      <c r="D23" s="77"/>
      <c r="E23" s="92" t="s">
        <v>700</v>
      </c>
      <c r="F23" s="95">
        <v>3</v>
      </c>
      <c r="G23" s="95">
        <v>2</v>
      </c>
      <c r="H23" s="95">
        <v>1718.55</v>
      </c>
      <c r="I23" s="95">
        <v>1066.55</v>
      </c>
      <c r="J23" s="95">
        <v>862.92</v>
      </c>
      <c r="K23" s="95">
        <v>36</v>
      </c>
      <c r="L23" s="97">
        <f>'виды работ  (2)'!C22</f>
        <v>1852715</v>
      </c>
      <c r="M23" s="57">
        <v>0</v>
      </c>
      <c r="N23" s="57">
        <v>0</v>
      </c>
      <c r="O23" s="57">
        <v>0</v>
      </c>
      <c r="P23" s="97">
        <f t="shared" si="2"/>
        <v>1852715</v>
      </c>
      <c r="Q23" s="97">
        <f t="shared" si="1"/>
        <v>1078.0687207238661</v>
      </c>
      <c r="R23" s="97">
        <v>42000</v>
      </c>
      <c r="S23" s="55" t="s">
        <v>843</v>
      </c>
      <c r="T23" s="92" t="s">
        <v>773</v>
      </c>
    </row>
    <row r="24" spans="1:20" s="186" customFormat="1" ht="18" customHeight="1">
      <c r="A24" s="95">
        <f t="shared" si="0"/>
        <v>13</v>
      </c>
      <c r="B24" s="188" t="s">
        <v>90</v>
      </c>
      <c r="C24" s="95">
        <v>1954</v>
      </c>
      <c r="D24" s="77"/>
      <c r="E24" s="92" t="s">
        <v>700</v>
      </c>
      <c r="F24" s="95">
        <v>2</v>
      </c>
      <c r="G24" s="95">
        <v>2</v>
      </c>
      <c r="H24" s="95">
        <v>932.7</v>
      </c>
      <c r="I24" s="95">
        <v>724.59</v>
      </c>
      <c r="J24" s="95">
        <v>481.12</v>
      </c>
      <c r="K24" s="95">
        <v>36</v>
      </c>
      <c r="L24" s="97">
        <f>'виды работ  (2)'!C23</f>
        <v>269016</v>
      </c>
      <c r="M24" s="57">
        <v>0</v>
      </c>
      <c r="N24" s="57">
        <v>0</v>
      </c>
      <c r="O24" s="57">
        <v>0</v>
      </c>
      <c r="P24" s="97">
        <f t="shared" si="2"/>
        <v>269016</v>
      </c>
      <c r="Q24" s="97">
        <f t="shared" si="1"/>
        <v>288.4271469926021</v>
      </c>
      <c r="R24" s="97">
        <v>42000</v>
      </c>
      <c r="S24" s="55" t="s">
        <v>843</v>
      </c>
      <c r="T24" s="92" t="s">
        <v>773</v>
      </c>
    </row>
    <row r="25" spans="1:24" s="186" customFormat="1" ht="18" customHeight="1">
      <c r="A25" s="117" t="s">
        <v>597</v>
      </c>
      <c r="B25" s="117"/>
      <c r="C25" s="86" t="s">
        <v>430</v>
      </c>
      <c r="D25" s="86" t="s">
        <v>430</v>
      </c>
      <c r="E25" s="86" t="s">
        <v>430</v>
      </c>
      <c r="F25" s="86" t="s">
        <v>430</v>
      </c>
      <c r="G25" s="86" t="s">
        <v>430</v>
      </c>
      <c r="H25" s="97">
        <f>SUM(H12:H24)</f>
        <v>32790.15</v>
      </c>
      <c r="I25" s="97">
        <f aca="true" t="shared" si="3" ref="I25:P25">SUM(I12:I24)</f>
        <v>22333.17</v>
      </c>
      <c r="J25" s="97">
        <f t="shared" si="3"/>
        <v>19225.679999999997</v>
      </c>
      <c r="K25" s="96">
        <f t="shared" si="3"/>
        <v>858</v>
      </c>
      <c r="L25" s="97">
        <f t="shared" si="3"/>
        <v>23288081</v>
      </c>
      <c r="M25" s="97">
        <f t="shared" si="3"/>
        <v>0</v>
      </c>
      <c r="N25" s="97">
        <f t="shared" si="3"/>
        <v>0</v>
      </c>
      <c r="O25" s="97">
        <f t="shared" si="3"/>
        <v>0</v>
      </c>
      <c r="P25" s="97">
        <f t="shared" si="3"/>
        <v>23288081</v>
      </c>
      <c r="Q25" s="97">
        <f>L25/H25</f>
        <v>710.2157507666174</v>
      </c>
      <c r="R25" s="56" t="s">
        <v>430</v>
      </c>
      <c r="S25" s="56" t="s">
        <v>430</v>
      </c>
      <c r="T25" s="56" t="s">
        <v>430</v>
      </c>
      <c r="U25" s="190"/>
      <c r="X25" s="190"/>
    </row>
    <row r="26" spans="1:24" s="191" customFormat="1" ht="18" customHeight="1">
      <c r="A26" s="132" t="s">
        <v>598</v>
      </c>
      <c r="B26" s="132"/>
      <c r="C26" s="132"/>
      <c r="D26" s="132"/>
      <c r="E26" s="132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X26" s="190"/>
    </row>
    <row r="27" spans="1:24" s="186" customFormat="1" ht="18" customHeight="1">
      <c r="A27" s="95">
        <f>A24+1</f>
        <v>14</v>
      </c>
      <c r="B27" s="188" t="s">
        <v>19</v>
      </c>
      <c r="C27" s="92">
        <v>1970</v>
      </c>
      <c r="D27" s="95"/>
      <c r="E27" s="92" t="s">
        <v>94</v>
      </c>
      <c r="F27" s="95">
        <v>2</v>
      </c>
      <c r="G27" s="95">
        <v>2</v>
      </c>
      <c r="H27" s="95">
        <v>725.8</v>
      </c>
      <c r="I27" s="95">
        <v>470.7</v>
      </c>
      <c r="J27" s="95">
        <v>301.1</v>
      </c>
      <c r="K27" s="95">
        <v>50</v>
      </c>
      <c r="L27" s="97">
        <f>'виды работ  (2)'!C26</f>
        <v>107438</v>
      </c>
      <c r="M27" s="57">
        <v>0</v>
      </c>
      <c r="N27" s="57">
        <v>0</v>
      </c>
      <c r="O27" s="57">
        <v>0</v>
      </c>
      <c r="P27" s="97">
        <f>L27</f>
        <v>107438</v>
      </c>
      <c r="Q27" s="97">
        <f t="shared" si="1"/>
        <v>148.0270046844861</v>
      </c>
      <c r="R27" s="97">
        <v>42000</v>
      </c>
      <c r="S27" s="55" t="s">
        <v>843</v>
      </c>
      <c r="T27" s="92" t="s">
        <v>773</v>
      </c>
      <c r="X27" s="190"/>
    </row>
    <row r="28" spans="1:24" s="186" customFormat="1" ht="18" customHeight="1">
      <c r="A28" s="117" t="s">
        <v>597</v>
      </c>
      <c r="B28" s="117"/>
      <c r="C28" s="86" t="s">
        <v>430</v>
      </c>
      <c r="D28" s="86" t="s">
        <v>430</v>
      </c>
      <c r="E28" s="86" t="s">
        <v>430</v>
      </c>
      <c r="F28" s="86" t="s">
        <v>430</v>
      </c>
      <c r="G28" s="86" t="s">
        <v>430</v>
      </c>
      <c r="H28" s="95">
        <f>SUM(H27)</f>
        <v>725.8</v>
      </c>
      <c r="I28" s="95">
        <f aca="true" t="shared" si="4" ref="I28:P28">SUM(I27)</f>
        <v>470.7</v>
      </c>
      <c r="J28" s="95">
        <f t="shared" si="4"/>
        <v>301.1</v>
      </c>
      <c r="K28" s="95">
        <f t="shared" si="4"/>
        <v>50</v>
      </c>
      <c r="L28" s="57">
        <f t="shared" si="4"/>
        <v>107438</v>
      </c>
      <c r="M28" s="57">
        <f t="shared" si="4"/>
        <v>0</v>
      </c>
      <c r="N28" s="57">
        <f t="shared" si="4"/>
        <v>0</v>
      </c>
      <c r="O28" s="57">
        <f t="shared" si="4"/>
        <v>0</v>
      </c>
      <c r="P28" s="57">
        <f t="shared" si="4"/>
        <v>107438</v>
      </c>
      <c r="Q28" s="97">
        <f t="shared" si="1"/>
        <v>148.0270046844861</v>
      </c>
      <c r="R28" s="56" t="s">
        <v>430</v>
      </c>
      <c r="S28" s="56" t="s">
        <v>430</v>
      </c>
      <c r="T28" s="56" t="s">
        <v>430</v>
      </c>
      <c r="U28" s="192"/>
      <c r="X28" s="190"/>
    </row>
    <row r="29" spans="1:24" s="186" customFormat="1" ht="18" customHeight="1">
      <c r="A29" s="172" t="s">
        <v>702</v>
      </c>
      <c r="B29" s="172"/>
      <c r="C29" s="172"/>
      <c r="D29" s="172"/>
      <c r="E29" s="172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X29" s="190"/>
    </row>
    <row r="30" spans="1:24" s="186" customFormat="1" ht="18" customHeight="1">
      <c r="A30" s="95">
        <f>A27+1</f>
        <v>15</v>
      </c>
      <c r="B30" s="38" t="s">
        <v>703</v>
      </c>
      <c r="C30" s="39">
        <v>1987</v>
      </c>
      <c r="D30" s="86"/>
      <c r="E30" s="92" t="s">
        <v>411</v>
      </c>
      <c r="F30" s="10">
        <v>5</v>
      </c>
      <c r="G30" s="10">
        <v>4</v>
      </c>
      <c r="H30" s="97">
        <v>3405.74</v>
      </c>
      <c r="I30" s="97">
        <v>2978.6</v>
      </c>
      <c r="J30" s="97">
        <v>2568.14</v>
      </c>
      <c r="K30" s="96">
        <v>132</v>
      </c>
      <c r="L30" s="97">
        <f>'виды работ  (2)'!C29</f>
        <v>3346363</v>
      </c>
      <c r="M30" s="57">
        <v>0</v>
      </c>
      <c r="N30" s="57">
        <v>0</v>
      </c>
      <c r="O30" s="57">
        <v>0</v>
      </c>
      <c r="P30" s="97">
        <f>L30</f>
        <v>3346363</v>
      </c>
      <c r="Q30" s="97">
        <f>L30/H30</f>
        <v>982.5656098234158</v>
      </c>
      <c r="R30" s="97">
        <v>42000</v>
      </c>
      <c r="S30" s="55" t="s">
        <v>843</v>
      </c>
      <c r="T30" s="92" t="s">
        <v>773</v>
      </c>
      <c r="X30" s="190"/>
    </row>
    <row r="31" spans="1:24" s="186" customFormat="1" ht="18" customHeight="1">
      <c r="A31" s="117" t="s">
        <v>597</v>
      </c>
      <c r="B31" s="117"/>
      <c r="C31" s="86" t="s">
        <v>430</v>
      </c>
      <c r="D31" s="86" t="s">
        <v>430</v>
      </c>
      <c r="E31" s="86" t="s">
        <v>430</v>
      </c>
      <c r="F31" s="86" t="s">
        <v>430</v>
      </c>
      <c r="G31" s="86" t="s">
        <v>430</v>
      </c>
      <c r="H31" s="97">
        <f>SUM(H30)</f>
        <v>3405.74</v>
      </c>
      <c r="I31" s="97">
        <f aca="true" t="shared" si="5" ref="I31:P31">SUM(I30)</f>
        <v>2978.6</v>
      </c>
      <c r="J31" s="97">
        <f t="shared" si="5"/>
        <v>2568.14</v>
      </c>
      <c r="K31" s="96">
        <f t="shared" si="5"/>
        <v>132</v>
      </c>
      <c r="L31" s="97">
        <f t="shared" si="5"/>
        <v>3346363</v>
      </c>
      <c r="M31" s="97">
        <f t="shared" si="5"/>
        <v>0</v>
      </c>
      <c r="N31" s="97">
        <f t="shared" si="5"/>
        <v>0</v>
      </c>
      <c r="O31" s="97">
        <f t="shared" si="5"/>
        <v>0</v>
      </c>
      <c r="P31" s="97">
        <f t="shared" si="5"/>
        <v>3346363</v>
      </c>
      <c r="Q31" s="97">
        <f t="shared" si="1"/>
        <v>982.5656098234158</v>
      </c>
      <c r="R31" s="56" t="s">
        <v>430</v>
      </c>
      <c r="S31" s="56" t="s">
        <v>430</v>
      </c>
      <c r="T31" s="56" t="s">
        <v>430</v>
      </c>
      <c r="U31" s="190"/>
      <c r="X31" s="190"/>
    </row>
    <row r="32" spans="1:24" s="186" customFormat="1" ht="18" customHeight="1">
      <c r="A32" s="132" t="s">
        <v>599</v>
      </c>
      <c r="B32" s="132"/>
      <c r="C32" s="132"/>
      <c r="D32" s="132"/>
      <c r="E32" s="132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X32" s="190"/>
    </row>
    <row r="33" spans="1:24" s="186" customFormat="1" ht="18" customHeight="1">
      <c r="A33" s="95">
        <f>A30+1</f>
        <v>16</v>
      </c>
      <c r="B33" s="188" t="s">
        <v>93</v>
      </c>
      <c r="C33" s="95">
        <v>1970</v>
      </c>
      <c r="D33" s="95"/>
      <c r="E33" s="92" t="s">
        <v>94</v>
      </c>
      <c r="F33" s="95">
        <v>2</v>
      </c>
      <c r="G33" s="95">
        <v>2</v>
      </c>
      <c r="H33" s="57">
        <v>585</v>
      </c>
      <c r="I33" s="57">
        <v>508.7</v>
      </c>
      <c r="J33" s="57">
        <v>138.8</v>
      </c>
      <c r="K33" s="95">
        <v>23</v>
      </c>
      <c r="L33" s="97">
        <f>'виды работ  (2)'!C32</f>
        <v>94883</v>
      </c>
      <c r="M33" s="57">
        <v>0</v>
      </c>
      <c r="N33" s="57">
        <v>0</v>
      </c>
      <c r="O33" s="57">
        <v>0</v>
      </c>
      <c r="P33" s="97">
        <f>L33</f>
        <v>94883</v>
      </c>
      <c r="Q33" s="97">
        <f t="shared" si="1"/>
        <v>162.1931623931624</v>
      </c>
      <c r="R33" s="97">
        <v>42000</v>
      </c>
      <c r="S33" s="55" t="s">
        <v>843</v>
      </c>
      <c r="T33" s="92" t="s">
        <v>773</v>
      </c>
      <c r="X33" s="190"/>
    </row>
    <row r="34" spans="1:24" s="186" customFormat="1" ht="18" customHeight="1">
      <c r="A34" s="95">
        <f>A33+1</f>
        <v>17</v>
      </c>
      <c r="B34" s="188" t="s">
        <v>95</v>
      </c>
      <c r="C34" s="95">
        <v>1969</v>
      </c>
      <c r="D34" s="95"/>
      <c r="E34" s="92" t="s">
        <v>94</v>
      </c>
      <c r="F34" s="95">
        <v>2</v>
      </c>
      <c r="G34" s="95">
        <v>2</v>
      </c>
      <c r="H34" s="97">
        <v>580</v>
      </c>
      <c r="I34" s="57">
        <v>506.2</v>
      </c>
      <c r="J34" s="57">
        <v>327.9</v>
      </c>
      <c r="K34" s="95">
        <v>19</v>
      </c>
      <c r="L34" s="97">
        <f>'виды работ  (2)'!C33</f>
        <v>94883</v>
      </c>
      <c r="M34" s="57">
        <v>0</v>
      </c>
      <c r="N34" s="57">
        <v>0</v>
      </c>
      <c r="O34" s="57">
        <v>0</v>
      </c>
      <c r="P34" s="97">
        <f>L34</f>
        <v>94883</v>
      </c>
      <c r="Q34" s="97">
        <f t="shared" si="1"/>
        <v>163.59137931034482</v>
      </c>
      <c r="R34" s="97">
        <v>42000</v>
      </c>
      <c r="S34" s="55" t="s">
        <v>843</v>
      </c>
      <c r="T34" s="92" t="s">
        <v>773</v>
      </c>
      <c r="X34" s="190"/>
    </row>
    <row r="35" spans="1:24" s="186" customFormat="1" ht="18" customHeight="1">
      <c r="A35" s="95">
        <f>A34+1</f>
        <v>18</v>
      </c>
      <c r="B35" s="188" t="s">
        <v>96</v>
      </c>
      <c r="C35" s="95">
        <v>1973</v>
      </c>
      <c r="D35" s="95"/>
      <c r="E35" s="92" t="s">
        <v>94</v>
      </c>
      <c r="F35" s="95">
        <v>2</v>
      </c>
      <c r="G35" s="95">
        <v>3</v>
      </c>
      <c r="H35" s="97">
        <v>962</v>
      </c>
      <c r="I35" s="57">
        <v>845.8</v>
      </c>
      <c r="J35" s="57">
        <v>515.6</v>
      </c>
      <c r="K35" s="95">
        <v>37</v>
      </c>
      <c r="L35" s="97">
        <f>'виды работ  (2)'!C34</f>
        <v>89814</v>
      </c>
      <c r="M35" s="57">
        <v>0</v>
      </c>
      <c r="N35" s="57">
        <v>0</v>
      </c>
      <c r="O35" s="57">
        <v>0</v>
      </c>
      <c r="P35" s="97">
        <f>L35</f>
        <v>89814</v>
      </c>
      <c r="Q35" s="97">
        <f t="shared" si="1"/>
        <v>93.36174636174636</v>
      </c>
      <c r="R35" s="97">
        <v>42000</v>
      </c>
      <c r="S35" s="55" t="s">
        <v>843</v>
      </c>
      <c r="T35" s="92" t="s">
        <v>773</v>
      </c>
      <c r="X35" s="190"/>
    </row>
    <row r="36" spans="1:24" s="186" customFormat="1" ht="18" customHeight="1">
      <c r="A36" s="117" t="s">
        <v>597</v>
      </c>
      <c r="B36" s="117"/>
      <c r="C36" s="86" t="s">
        <v>430</v>
      </c>
      <c r="D36" s="86" t="s">
        <v>430</v>
      </c>
      <c r="E36" s="86" t="s">
        <v>430</v>
      </c>
      <c r="F36" s="86" t="s">
        <v>430</v>
      </c>
      <c r="G36" s="86" t="s">
        <v>430</v>
      </c>
      <c r="H36" s="97">
        <f>SUM(H33:H35)</f>
        <v>2127</v>
      </c>
      <c r="I36" s="97">
        <f aca="true" t="shared" si="6" ref="I36:P36">SUM(I33:I35)</f>
        <v>1860.6999999999998</v>
      </c>
      <c r="J36" s="97">
        <f t="shared" si="6"/>
        <v>982.3</v>
      </c>
      <c r="K36" s="96">
        <f t="shared" si="6"/>
        <v>79</v>
      </c>
      <c r="L36" s="97">
        <f t="shared" si="6"/>
        <v>279580</v>
      </c>
      <c r="M36" s="97">
        <f t="shared" si="6"/>
        <v>0</v>
      </c>
      <c r="N36" s="97">
        <f t="shared" si="6"/>
        <v>0</v>
      </c>
      <c r="O36" s="97">
        <f t="shared" si="6"/>
        <v>0</v>
      </c>
      <c r="P36" s="97">
        <f t="shared" si="6"/>
        <v>279580</v>
      </c>
      <c r="Q36" s="97">
        <f t="shared" si="1"/>
        <v>131.44334743770568</v>
      </c>
      <c r="R36" s="56" t="s">
        <v>430</v>
      </c>
      <c r="S36" s="56" t="s">
        <v>430</v>
      </c>
      <c r="T36" s="56" t="s">
        <v>430</v>
      </c>
      <c r="U36" s="190"/>
      <c r="X36" s="190"/>
    </row>
    <row r="37" spans="1:24" s="186" customFormat="1" ht="18" customHeight="1">
      <c r="A37" s="172" t="s">
        <v>600</v>
      </c>
      <c r="B37" s="172"/>
      <c r="C37" s="172"/>
      <c r="D37" s="172"/>
      <c r="E37" s="172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X37" s="190"/>
    </row>
    <row r="38" spans="1:24" s="186" customFormat="1" ht="18" customHeight="1">
      <c r="A38" s="92">
        <f>A35+1</f>
        <v>19</v>
      </c>
      <c r="B38" s="13" t="s">
        <v>846</v>
      </c>
      <c r="C38" s="193">
        <v>1969</v>
      </c>
      <c r="D38" s="194"/>
      <c r="E38" s="92" t="s">
        <v>94</v>
      </c>
      <c r="F38" s="194">
        <v>5</v>
      </c>
      <c r="G38" s="194">
        <v>4</v>
      </c>
      <c r="H38" s="194">
        <v>4604.96</v>
      </c>
      <c r="I38" s="194">
        <v>3361.5</v>
      </c>
      <c r="J38" s="194">
        <v>3223.27</v>
      </c>
      <c r="K38" s="194">
        <v>121</v>
      </c>
      <c r="L38" s="97">
        <f>'виды работ  (2)'!C37</f>
        <v>1214078</v>
      </c>
      <c r="M38" s="57">
        <v>0</v>
      </c>
      <c r="N38" s="57">
        <v>0</v>
      </c>
      <c r="O38" s="57">
        <v>0</v>
      </c>
      <c r="P38" s="97">
        <f aca="true" t="shared" si="7" ref="P38:P45">L38</f>
        <v>1214078</v>
      </c>
      <c r="Q38" s="97">
        <f>L38/H38</f>
        <v>263.6457211354713</v>
      </c>
      <c r="R38" s="97">
        <v>42000</v>
      </c>
      <c r="S38" s="55" t="s">
        <v>843</v>
      </c>
      <c r="T38" s="92" t="s">
        <v>773</v>
      </c>
      <c r="X38" s="190"/>
    </row>
    <row r="39" spans="1:24" s="186" customFormat="1" ht="18" customHeight="1">
      <c r="A39" s="92">
        <f aca="true" t="shared" si="8" ref="A39:A45">A38+1</f>
        <v>20</v>
      </c>
      <c r="B39" s="13" t="s">
        <v>847</v>
      </c>
      <c r="C39" s="193">
        <v>1969</v>
      </c>
      <c r="D39" s="194"/>
      <c r="E39" s="92" t="s">
        <v>411</v>
      </c>
      <c r="F39" s="194">
        <v>5</v>
      </c>
      <c r="G39" s="194">
        <v>4</v>
      </c>
      <c r="H39" s="194">
        <v>5579.76</v>
      </c>
      <c r="I39" s="194">
        <v>3503.02</v>
      </c>
      <c r="J39" s="194">
        <v>3425.84</v>
      </c>
      <c r="K39" s="194">
        <v>152</v>
      </c>
      <c r="L39" s="97">
        <f>'виды работ  (2)'!C38</f>
        <v>1109422</v>
      </c>
      <c r="M39" s="57">
        <v>0</v>
      </c>
      <c r="N39" s="57">
        <v>0</v>
      </c>
      <c r="O39" s="57">
        <v>0</v>
      </c>
      <c r="P39" s="97">
        <f t="shared" si="7"/>
        <v>1109422</v>
      </c>
      <c r="Q39" s="97">
        <f>L39/H39</f>
        <v>198.8296987684058</v>
      </c>
      <c r="R39" s="97">
        <v>42000</v>
      </c>
      <c r="S39" s="55" t="s">
        <v>843</v>
      </c>
      <c r="T39" s="92" t="s">
        <v>773</v>
      </c>
      <c r="X39" s="190"/>
    </row>
    <row r="40" spans="1:24" s="186" customFormat="1" ht="18" customHeight="1">
      <c r="A40" s="92">
        <f t="shared" si="8"/>
        <v>21</v>
      </c>
      <c r="B40" s="13" t="s">
        <v>848</v>
      </c>
      <c r="C40" s="193">
        <v>1969</v>
      </c>
      <c r="D40" s="194"/>
      <c r="E40" s="92" t="s">
        <v>94</v>
      </c>
      <c r="F40" s="194">
        <v>5</v>
      </c>
      <c r="G40" s="194">
        <v>4</v>
      </c>
      <c r="H40" s="194">
        <v>4573.61</v>
      </c>
      <c r="I40" s="194">
        <v>3332.38</v>
      </c>
      <c r="J40" s="194">
        <v>3304.52</v>
      </c>
      <c r="K40" s="194">
        <v>120</v>
      </c>
      <c r="L40" s="97">
        <f>'виды работ  (2)'!C39</f>
        <v>1245381</v>
      </c>
      <c r="M40" s="57">
        <v>0</v>
      </c>
      <c r="N40" s="57">
        <v>0</v>
      </c>
      <c r="O40" s="57">
        <v>0</v>
      </c>
      <c r="P40" s="97">
        <f t="shared" si="7"/>
        <v>1245381</v>
      </c>
      <c r="Q40" s="97">
        <f>L40/H40</f>
        <v>272.29715695041773</v>
      </c>
      <c r="R40" s="97">
        <v>42000</v>
      </c>
      <c r="S40" s="55" t="s">
        <v>843</v>
      </c>
      <c r="T40" s="92" t="s">
        <v>773</v>
      </c>
      <c r="X40" s="190"/>
    </row>
    <row r="41" spans="1:24" s="186" customFormat="1" ht="18" customHeight="1">
      <c r="A41" s="92">
        <f t="shared" si="8"/>
        <v>22</v>
      </c>
      <c r="B41" s="13" t="s">
        <v>849</v>
      </c>
      <c r="C41" s="193">
        <v>1973</v>
      </c>
      <c r="D41" s="194"/>
      <c r="E41" s="92" t="s">
        <v>94</v>
      </c>
      <c r="F41" s="194">
        <v>5</v>
      </c>
      <c r="G41" s="194">
        <v>4</v>
      </c>
      <c r="H41" s="194">
        <v>4377.26</v>
      </c>
      <c r="I41" s="194">
        <v>3173.76</v>
      </c>
      <c r="J41" s="194">
        <v>2355.17</v>
      </c>
      <c r="K41" s="194">
        <v>119</v>
      </c>
      <c r="L41" s="97">
        <f>'виды работ  (2)'!C40</f>
        <v>2136650</v>
      </c>
      <c r="M41" s="57">
        <v>0</v>
      </c>
      <c r="N41" s="57">
        <v>0</v>
      </c>
      <c r="O41" s="57">
        <v>0</v>
      </c>
      <c r="P41" s="97">
        <f t="shared" si="7"/>
        <v>2136650</v>
      </c>
      <c r="Q41" s="97">
        <f>L41/H41</f>
        <v>488.12499143299686</v>
      </c>
      <c r="R41" s="97">
        <v>42000</v>
      </c>
      <c r="S41" s="55" t="s">
        <v>843</v>
      </c>
      <c r="T41" s="92" t="s">
        <v>773</v>
      </c>
      <c r="X41" s="190"/>
    </row>
    <row r="42" spans="1:24" s="186" customFormat="1" ht="18" customHeight="1">
      <c r="A42" s="92">
        <f t="shared" si="8"/>
        <v>23</v>
      </c>
      <c r="B42" s="188" t="s">
        <v>97</v>
      </c>
      <c r="C42" s="92">
        <v>1982</v>
      </c>
      <c r="D42" s="95"/>
      <c r="E42" s="92" t="s">
        <v>411</v>
      </c>
      <c r="F42" s="95">
        <v>5</v>
      </c>
      <c r="G42" s="95">
        <v>3</v>
      </c>
      <c r="H42" s="95">
        <v>2722.5</v>
      </c>
      <c r="I42" s="95">
        <v>2350.1</v>
      </c>
      <c r="J42" s="95">
        <v>2102.87</v>
      </c>
      <c r="K42" s="95">
        <v>104</v>
      </c>
      <c r="L42" s="97">
        <f>'виды работ  (2)'!C41</f>
        <v>6002761</v>
      </c>
      <c r="M42" s="57">
        <v>0</v>
      </c>
      <c r="N42" s="57">
        <v>0</v>
      </c>
      <c r="O42" s="57">
        <v>0</v>
      </c>
      <c r="P42" s="97">
        <f t="shared" si="7"/>
        <v>6002761</v>
      </c>
      <c r="Q42" s="97">
        <f t="shared" si="1"/>
        <v>2204.8708907254363</v>
      </c>
      <c r="R42" s="97">
        <v>42000</v>
      </c>
      <c r="S42" s="55" t="s">
        <v>843</v>
      </c>
      <c r="T42" s="92" t="s">
        <v>773</v>
      </c>
      <c r="X42" s="190"/>
    </row>
    <row r="43" spans="1:24" s="186" customFormat="1" ht="18" customHeight="1">
      <c r="A43" s="92">
        <f t="shared" si="8"/>
        <v>24</v>
      </c>
      <c r="B43" s="188" t="s">
        <v>98</v>
      </c>
      <c r="C43" s="92">
        <v>1951</v>
      </c>
      <c r="D43" s="95"/>
      <c r="E43" s="92" t="s">
        <v>700</v>
      </c>
      <c r="F43" s="95">
        <v>2</v>
      </c>
      <c r="G43" s="95">
        <v>2</v>
      </c>
      <c r="H43" s="95">
        <v>1680.22</v>
      </c>
      <c r="I43" s="95">
        <v>588.61</v>
      </c>
      <c r="J43" s="95">
        <v>586.89</v>
      </c>
      <c r="K43" s="95">
        <v>16</v>
      </c>
      <c r="L43" s="97">
        <f>'виды работ  (2)'!C42</f>
        <v>2106649</v>
      </c>
      <c r="M43" s="57">
        <v>0</v>
      </c>
      <c r="N43" s="57">
        <v>0</v>
      </c>
      <c r="O43" s="57">
        <v>0</v>
      </c>
      <c r="P43" s="97">
        <f t="shared" si="7"/>
        <v>2106649</v>
      </c>
      <c r="Q43" s="97">
        <f t="shared" si="1"/>
        <v>1253.7935508445323</v>
      </c>
      <c r="R43" s="97">
        <v>42000</v>
      </c>
      <c r="S43" s="55" t="s">
        <v>843</v>
      </c>
      <c r="T43" s="92" t="s">
        <v>773</v>
      </c>
      <c r="X43" s="190"/>
    </row>
    <row r="44" spans="1:24" s="186" customFormat="1" ht="18" customHeight="1">
      <c r="A44" s="95">
        <f t="shared" si="8"/>
        <v>25</v>
      </c>
      <c r="B44" s="188" t="s">
        <v>99</v>
      </c>
      <c r="C44" s="92">
        <v>1954</v>
      </c>
      <c r="D44" s="95"/>
      <c r="E44" s="92" t="s">
        <v>94</v>
      </c>
      <c r="F44" s="95">
        <v>2</v>
      </c>
      <c r="G44" s="95">
        <v>2</v>
      </c>
      <c r="H44" s="95">
        <v>671.5</v>
      </c>
      <c r="I44" s="95">
        <v>603.28</v>
      </c>
      <c r="J44" s="95">
        <v>512.92</v>
      </c>
      <c r="K44" s="95">
        <v>22</v>
      </c>
      <c r="L44" s="97">
        <f>'виды работ  (2)'!C43</f>
        <v>2151248</v>
      </c>
      <c r="M44" s="57">
        <v>0</v>
      </c>
      <c r="N44" s="57">
        <v>0</v>
      </c>
      <c r="O44" s="57">
        <v>0</v>
      </c>
      <c r="P44" s="97">
        <f t="shared" si="7"/>
        <v>2151248</v>
      </c>
      <c r="Q44" s="97">
        <f t="shared" si="1"/>
        <v>3203.6455696202534</v>
      </c>
      <c r="R44" s="97">
        <v>42000</v>
      </c>
      <c r="S44" s="55" t="s">
        <v>843</v>
      </c>
      <c r="T44" s="92" t="s">
        <v>773</v>
      </c>
      <c r="X44" s="190"/>
    </row>
    <row r="45" spans="1:24" s="186" customFormat="1" ht="18" customHeight="1">
      <c r="A45" s="95">
        <f t="shared" si="8"/>
        <v>26</v>
      </c>
      <c r="B45" s="188" t="s">
        <v>100</v>
      </c>
      <c r="C45" s="92">
        <v>1958</v>
      </c>
      <c r="D45" s="95"/>
      <c r="E45" s="92" t="s">
        <v>94</v>
      </c>
      <c r="F45" s="95">
        <v>2</v>
      </c>
      <c r="G45" s="95">
        <v>2</v>
      </c>
      <c r="H45" s="95">
        <v>581.08</v>
      </c>
      <c r="I45" s="95">
        <v>518.33</v>
      </c>
      <c r="J45" s="95">
        <v>518.33</v>
      </c>
      <c r="K45" s="95">
        <v>24</v>
      </c>
      <c r="L45" s="97">
        <f>'виды работ  (2)'!C44</f>
        <v>1948005</v>
      </c>
      <c r="M45" s="57">
        <v>0</v>
      </c>
      <c r="N45" s="57">
        <v>0</v>
      </c>
      <c r="O45" s="57">
        <v>0</v>
      </c>
      <c r="P45" s="97">
        <f t="shared" si="7"/>
        <v>1948005</v>
      </c>
      <c r="Q45" s="97">
        <f t="shared" si="1"/>
        <v>3352.386934673367</v>
      </c>
      <c r="R45" s="97">
        <v>42000</v>
      </c>
      <c r="S45" s="55" t="s">
        <v>843</v>
      </c>
      <c r="T45" s="92" t="s">
        <v>773</v>
      </c>
      <c r="X45" s="190"/>
    </row>
    <row r="46" spans="1:24" s="186" customFormat="1" ht="18" customHeight="1">
      <c r="A46" s="117" t="s">
        <v>597</v>
      </c>
      <c r="B46" s="117"/>
      <c r="C46" s="86" t="s">
        <v>430</v>
      </c>
      <c r="D46" s="86" t="s">
        <v>430</v>
      </c>
      <c r="E46" s="86" t="s">
        <v>430</v>
      </c>
      <c r="F46" s="86" t="s">
        <v>430</v>
      </c>
      <c r="G46" s="86" t="s">
        <v>430</v>
      </c>
      <c r="H46" s="97">
        <f>SUM(H38:H45)</f>
        <v>24790.890000000007</v>
      </c>
      <c r="I46" s="97">
        <f aca="true" t="shared" si="9" ref="I46:P46">SUM(I38:I45)</f>
        <v>17430.980000000003</v>
      </c>
      <c r="J46" s="97">
        <f t="shared" si="9"/>
        <v>16029.810000000001</v>
      </c>
      <c r="K46" s="97">
        <f t="shared" si="9"/>
        <v>678</v>
      </c>
      <c r="L46" s="97">
        <f t="shared" si="9"/>
        <v>17914194</v>
      </c>
      <c r="M46" s="97">
        <f t="shared" si="9"/>
        <v>0</v>
      </c>
      <c r="N46" s="97">
        <f t="shared" si="9"/>
        <v>0</v>
      </c>
      <c r="O46" s="97">
        <f t="shared" si="9"/>
        <v>0</v>
      </c>
      <c r="P46" s="97">
        <f t="shared" si="9"/>
        <v>17914194</v>
      </c>
      <c r="Q46" s="97">
        <f t="shared" si="1"/>
        <v>722.6119756087819</v>
      </c>
      <c r="R46" s="56" t="s">
        <v>430</v>
      </c>
      <c r="S46" s="56" t="s">
        <v>430</v>
      </c>
      <c r="T46" s="56" t="s">
        <v>430</v>
      </c>
      <c r="U46" s="190"/>
      <c r="X46" s="190"/>
    </row>
    <row r="47" spans="1:24" s="191" customFormat="1" ht="18" customHeight="1">
      <c r="A47" s="140" t="s">
        <v>601</v>
      </c>
      <c r="B47" s="140"/>
      <c r="C47" s="140"/>
      <c r="D47" s="81" t="s">
        <v>430</v>
      </c>
      <c r="E47" s="81" t="s">
        <v>430</v>
      </c>
      <c r="F47" s="81" t="s">
        <v>430</v>
      </c>
      <c r="G47" s="81" t="s">
        <v>430</v>
      </c>
      <c r="H47" s="97">
        <f aca="true" t="shared" si="10" ref="H47:P47">H25+H28+H31+H36+H46</f>
        <v>63839.58000000001</v>
      </c>
      <c r="I47" s="97">
        <f t="shared" si="10"/>
        <v>45074.15</v>
      </c>
      <c r="J47" s="97">
        <f t="shared" si="10"/>
        <v>39107.03</v>
      </c>
      <c r="K47" s="96">
        <f t="shared" si="10"/>
        <v>1797</v>
      </c>
      <c r="L47" s="97">
        <f t="shared" si="10"/>
        <v>44935656</v>
      </c>
      <c r="M47" s="97">
        <f t="shared" si="10"/>
        <v>0</v>
      </c>
      <c r="N47" s="97">
        <f t="shared" si="10"/>
        <v>0</v>
      </c>
      <c r="O47" s="97">
        <f t="shared" si="10"/>
        <v>0</v>
      </c>
      <c r="P47" s="97">
        <f t="shared" si="10"/>
        <v>44935656</v>
      </c>
      <c r="Q47" s="97">
        <f t="shared" si="1"/>
        <v>703.8839541237583</v>
      </c>
      <c r="R47" s="56" t="s">
        <v>430</v>
      </c>
      <c r="S47" s="56" t="s">
        <v>430</v>
      </c>
      <c r="T47" s="56" t="s">
        <v>430</v>
      </c>
      <c r="U47" s="195"/>
      <c r="X47" s="190"/>
    </row>
    <row r="48" spans="1:24" s="186" customFormat="1" ht="18" customHeight="1">
      <c r="A48" s="179" t="s">
        <v>602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X48" s="190"/>
    </row>
    <row r="49" spans="1:24" s="186" customFormat="1" ht="18" customHeight="1">
      <c r="A49" s="123" t="s">
        <v>704</v>
      </c>
      <c r="B49" s="123"/>
      <c r="C49" s="123"/>
      <c r="D49" s="123"/>
      <c r="E49" s="123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X49" s="190"/>
    </row>
    <row r="50" spans="1:24" s="186" customFormat="1" ht="18" customHeight="1">
      <c r="A50" s="95">
        <f>A45+1</f>
        <v>27</v>
      </c>
      <c r="B50" s="188" t="s">
        <v>102</v>
      </c>
      <c r="C50" s="92">
        <v>1979</v>
      </c>
      <c r="D50" s="95"/>
      <c r="E50" s="92" t="s">
        <v>411</v>
      </c>
      <c r="F50" s="95">
        <v>5</v>
      </c>
      <c r="G50" s="95">
        <v>4</v>
      </c>
      <c r="H50" s="57">
        <v>2757.5</v>
      </c>
      <c r="I50" s="57">
        <v>2674</v>
      </c>
      <c r="J50" s="57">
        <v>2358</v>
      </c>
      <c r="K50" s="39">
        <v>152</v>
      </c>
      <c r="L50" s="97">
        <f>'виды работ  (2)'!C49</f>
        <v>1463528</v>
      </c>
      <c r="M50" s="57">
        <v>0</v>
      </c>
      <c r="N50" s="57">
        <v>0</v>
      </c>
      <c r="O50" s="57">
        <v>0</v>
      </c>
      <c r="P50" s="97">
        <f>L50</f>
        <v>1463528</v>
      </c>
      <c r="Q50" s="97">
        <f t="shared" si="1"/>
        <v>530.7445149592022</v>
      </c>
      <c r="R50" s="97">
        <v>42000</v>
      </c>
      <c r="S50" s="55" t="s">
        <v>843</v>
      </c>
      <c r="T50" s="92" t="s">
        <v>773</v>
      </c>
      <c r="X50" s="190"/>
    </row>
    <row r="51" spans="1:24" s="186" customFormat="1" ht="18" customHeight="1">
      <c r="A51" s="117" t="s">
        <v>597</v>
      </c>
      <c r="B51" s="117"/>
      <c r="C51" s="86" t="s">
        <v>430</v>
      </c>
      <c r="D51" s="86" t="s">
        <v>430</v>
      </c>
      <c r="E51" s="86" t="s">
        <v>430</v>
      </c>
      <c r="F51" s="86" t="s">
        <v>430</v>
      </c>
      <c r="G51" s="86" t="s">
        <v>430</v>
      </c>
      <c r="H51" s="97">
        <f>SUM(H50)</f>
        <v>2757.5</v>
      </c>
      <c r="I51" s="97">
        <f aca="true" t="shared" si="11" ref="I51:P51">SUM(I50)</f>
        <v>2674</v>
      </c>
      <c r="J51" s="97">
        <f t="shared" si="11"/>
        <v>2358</v>
      </c>
      <c r="K51" s="96">
        <f t="shared" si="11"/>
        <v>152</v>
      </c>
      <c r="L51" s="97">
        <f t="shared" si="11"/>
        <v>1463528</v>
      </c>
      <c r="M51" s="97">
        <f t="shared" si="11"/>
        <v>0</v>
      </c>
      <c r="N51" s="97">
        <f t="shared" si="11"/>
        <v>0</v>
      </c>
      <c r="O51" s="97">
        <f t="shared" si="11"/>
        <v>0</v>
      </c>
      <c r="P51" s="97">
        <f t="shared" si="11"/>
        <v>1463528</v>
      </c>
      <c r="Q51" s="97">
        <f t="shared" si="1"/>
        <v>530.7445149592022</v>
      </c>
      <c r="R51" s="56" t="s">
        <v>430</v>
      </c>
      <c r="S51" s="56" t="s">
        <v>430</v>
      </c>
      <c r="T51" s="56" t="s">
        <v>430</v>
      </c>
      <c r="U51" s="190"/>
      <c r="X51" s="190"/>
    </row>
    <row r="52" spans="1:24" s="186" customFormat="1" ht="18" customHeight="1">
      <c r="A52" s="123" t="s">
        <v>603</v>
      </c>
      <c r="B52" s="123"/>
      <c r="C52" s="123"/>
      <c r="D52" s="123"/>
      <c r="E52" s="123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X52" s="190"/>
    </row>
    <row r="53" spans="1:24" s="186" customFormat="1" ht="18" customHeight="1">
      <c r="A53" s="95">
        <f>A50+1</f>
        <v>28</v>
      </c>
      <c r="B53" s="188" t="s">
        <v>103</v>
      </c>
      <c r="C53" s="92">
        <v>1985</v>
      </c>
      <c r="D53" s="95"/>
      <c r="E53" s="92" t="s">
        <v>411</v>
      </c>
      <c r="F53" s="95">
        <v>5</v>
      </c>
      <c r="G53" s="95">
        <v>4</v>
      </c>
      <c r="H53" s="95">
        <v>4138.4</v>
      </c>
      <c r="I53" s="95">
        <v>3229.5</v>
      </c>
      <c r="J53" s="95">
        <v>2797.3</v>
      </c>
      <c r="K53" s="95">
        <v>134</v>
      </c>
      <c r="L53" s="97">
        <f>'виды работ  (2)'!C52</f>
        <v>4234732</v>
      </c>
      <c r="M53" s="57">
        <v>0</v>
      </c>
      <c r="N53" s="57">
        <v>0</v>
      </c>
      <c r="O53" s="57">
        <v>0</v>
      </c>
      <c r="P53" s="97">
        <f>L53</f>
        <v>4234732</v>
      </c>
      <c r="Q53" s="97">
        <f t="shared" si="1"/>
        <v>1023.2775952058768</v>
      </c>
      <c r="R53" s="97">
        <v>42000</v>
      </c>
      <c r="S53" s="55" t="s">
        <v>843</v>
      </c>
      <c r="T53" s="92" t="s">
        <v>773</v>
      </c>
      <c r="X53" s="190"/>
    </row>
    <row r="54" spans="1:24" s="186" customFormat="1" ht="18" customHeight="1">
      <c r="A54" s="95">
        <f>A53+1</f>
        <v>29</v>
      </c>
      <c r="B54" s="188" t="s">
        <v>104</v>
      </c>
      <c r="C54" s="92">
        <v>1989</v>
      </c>
      <c r="D54" s="95"/>
      <c r="E54" s="92" t="s">
        <v>94</v>
      </c>
      <c r="F54" s="95">
        <v>5</v>
      </c>
      <c r="G54" s="95">
        <v>4</v>
      </c>
      <c r="H54" s="95">
        <v>6955.32</v>
      </c>
      <c r="I54" s="95">
        <v>3154.12</v>
      </c>
      <c r="J54" s="95">
        <v>2063.19</v>
      </c>
      <c r="K54" s="95">
        <v>258</v>
      </c>
      <c r="L54" s="97">
        <f>'виды работ  (2)'!C53</f>
        <v>7517171</v>
      </c>
      <c r="M54" s="57">
        <v>0</v>
      </c>
      <c r="N54" s="57">
        <v>0</v>
      </c>
      <c r="O54" s="57">
        <v>0</v>
      </c>
      <c r="P54" s="97">
        <f>L54</f>
        <v>7517171</v>
      </c>
      <c r="Q54" s="97">
        <f t="shared" si="1"/>
        <v>1080.7800360012193</v>
      </c>
      <c r="R54" s="97">
        <v>42000</v>
      </c>
      <c r="S54" s="55" t="s">
        <v>843</v>
      </c>
      <c r="T54" s="92" t="s">
        <v>773</v>
      </c>
      <c r="X54" s="190"/>
    </row>
    <row r="55" spans="1:24" s="186" customFormat="1" ht="18" customHeight="1">
      <c r="A55" s="117" t="s">
        <v>597</v>
      </c>
      <c r="B55" s="117"/>
      <c r="C55" s="86" t="s">
        <v>430</v>
      </c>
      <c r="D55" s="86" t="s">
        <v>430</v>
      </c>
      <c r="E55" s="86" t="s">
        <v>430</v>
      </c>
      <c r="F55" s="86" t="s">
        <v>430</v>
      </c>
      <c r="G55" s="86" t="s">
        <v>430</v>
      </c>
      <c r="H55" s="97">
        <f>SUM(H53:H54)</f>
        <v>11093.72</v>
      </c>
      <c r="I55" s="97">
        <f aca="true" t="shared" si="12" ref="I55:P55">SUM(I53:I54)</f>
        <v>6383.62</v>
      </c>
      <c r="J55" s="97">
        <f t="shared" si="12"/>
        <v>4860.49</v>
      </c>
      <c r="K55" s="96">
        <f t="shared" si="12"/>
        <v>392</v>
      </c>
      <c r="L55" s="97">
        <f t="shared" si="12"/>
        <v>11751903</v>
      </c>
      <c r="M55" s="97">
        <f t="shared" si="12"/>
        <v>0</v>
      </c>
      <c r="N55" s="97">
        <f t="shared" si="12"/>
        <v>0</v>
      </c>
      <c r="O55" s="97">
        <f t="shared" si="12"/>
        <v>0</v>
      </c>
      <c r="P55" s="97">
        <f t="shared" si="12"/>
        <v>11751903</v>
      </c>
      <c r="Q55" s="97">
        <f t="shared" si="1"/>
        <v>1059.3293322708705</v>
      </c>
      <c r="R55" s="56" t="s">
        <v>430</v>
      </c>
      <c r="S55" s="56" t="s">
        <v>430</v>
      </c>
      <c r="T55" s="56" t="s">
        <v>430</v>
      </c>
      <c r="U55" s="190"/>
      <c r="X55" s="190"/>
    </row>
    <row r="56" spans="1:24" s="186" customFormat="1" ht="18" customHeight="1">
      <c r="A56" s="132" t="s">
        <v>675</v>
      </c>
      <c r="B56" s="132"/>
      <c r="C56" s="132"/>
      <c r="D56" s="132"/>
      <c r="E56" s="132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X56" s="190"/>
    </row>
    <row r="57" spans="1:24" s="186" customFormat="1" ht="18" customHeight="1">
      <c r="A57" s="95">
        <f>A54+1</f>
        <v>30</v>
      </c>
      <c r="B57" s="188" t="s">
        <v>105</v>
      </c>
      <c r="C57" s="39">
        <v>1973</v>
      </c>
      <c r="D57" s="97"/>
      <c r="E57" s="86" t="s">
        <v>411</v>
      </c>
      <c r="F57" s="96">
        <v>5</v>
      </c>
      <c r="G57" s="96">
        <v>6</v>
      </c>
      <c r="H57" s="97">
        <v>4747.6</v>
      </c>
      <c r="I57" s="97">
        <v>4409</v>
      </c>
      <c r="J57" s="97">
        <v>2958</v>
      </c>
      <c r="K57" s="96">
        <v>256</v>
      </c>
      <c r="L57" s="97">
        <f>'виды работ  (2)'!C56</f>
        <v>2264694</v>
      </c>
      <c r="M57" s="97">
        <v>0</v>
      </c>
      <c r="N57" s="97">
        <v>0</v>
      </c>
      <c r="O57" s="97">
        <v>0</v>
      </c>
      <c r="P57" s="97">
        <f>L57</f>
        <v>2264694</v>
      </c>
      <c r="Q57" s="97">
        <f t="shared" si="1"/>
        <v>477.01870418737883</v>
      </c>
      <c r="R57" s="97">
        <v>42000</v>
      </c>
      <c r="S57" s="55" t="s">
        <v>843</v>
      </c>
      <c r="T57" s="92" t="s">
        <v>773</v>
      </c>
      <c r="X57" s="190"/>
    </row>
    <row r="58" spans="1:24" s="186" customFormat="1" ht="18" customHeight="1">
      <c r="A58" s="117" t="s">
        <v>597</v>
      </c>
      <c r="B58" s="117"/>
      <c r="C58" s="86" t="s">
        <v>430</v>
      </c>
      <c r="D58" s="86" t="s">
        <v>430</v>
      </c>
      <c r="E58" s="86" t="s">
        <v>430</v>
      </c>
      <c r="F58" s="86" t="s">
        <v>430</v>
      </c>
      <c r="G58" s="86" t="s">
        <v>430</v>
      </c>
      <c r="H58" s="97">
        <f>SUM(H57)</f>
        <v>4747.6</v>
      </c>
      <c r="I58" s="97">
        <f aca="true" t="shared" si="13" ref="I58:P58">SUM(I57)</f>
        <v>4409</v>
      </c>
      <c r="J58" s="97">
        <f t="shared" si="13"/>
        <v>2958</v>
      </c>
      <c r="K58" s="96">
        <f t="shared" si="13"/>
        <v>256</v>
      </c>
      <c r="L58" s="97">
        <f t="shared" si="13"/>
        <v>2264694</v>
      </c>
      <c r="M58" s="97">
        <f t="shared" si="13"/>
        <v>0</v>
      </c>
      <c r="N58" s="97">
        <f t="shared" si="13"/>
        <v>0</v>
      </c>
      <c r="O58" s="97">
        <f t="shared" si="13"/>
        <v>0</v>
      </c>
      <c r="P58" s="97">
        <f t="shared" si="13"/>
        <v>2264694</v>
      </c>
      <c r="Q58" s="97">
        <f t="shared" si="1"/>
        <v>477.01870418737883</v>
      </c>
      <c r="R58" s="56" t="s">
        <v>430</v>
      </c>
      <c r="S58" s="56" t="s">
        <v>430</v>
      </c>
      <c r="T58" s="56" t="s">
        <v>430</v>
      </c>
      <c r="U58" s="190"/>
      <c r="X58" s="190"/>
    </row>
    <row r="59" spans="1:24" s="186" customFormat="1" ht="18" customHeight="1">
      <c r="A59" s="132" t="s">
        <v>676</v>
      </c>
      <c r="B59" s="132"/>
      <c r="C59" s="132"/>
      <c r="D59" s="132"/>
      <c r="E59" s="132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X59" s="190"/>
    </row>
    <row r="60" spans="1:24" s="186" customFormat="1" ht="18" customHeight="1">
      <c r="A60" s="95">
        <f>A57+1</f>
        <v>31</v>
      </c>
      <c r="B60" s="188" t="s">
        <v>107</v>
      </c>
      <c r="C60" s="92">
        <v>1984</v>
      </c>
      <c r="D60" s="95"/>
      <c r="E60" s="92" t="s">
        <v>411</v>
      </c>
      <c r="F60" s="96">
        <v>3</v>
      </c>
      <c r="G60" s="96">
        <v>3</v>
      </c>
      <c r="H60" s="97">
        <v>1625.5</v>
      </c>
      <c r="I60" s="97">
        <v>1447.5</v>
      </c>
      <c r="J60" s="97">
        <v>1252.7</v>
      </c>
      <c r="K60" s="96">
        <v>92</v>
      </c>
      <c r="L60" s="97">
        <f>'виды работ  (2)'!C59</f>
        <v>1436788</v>
      </c>
      <c r="M60" s="97">
        <v>0</v>
      </c>
      <c r="N60" s="97">
        <v>0</v>
      </c>
      <c r="O60" s="97">
        <v>0</v>
      </c>
      <c r="P60" s="97">
        <f>L60</f>
        <v>1436788</v>
      </c>
      <c r="Q60" s="97">
        <f t="shared" si="1"/>
        <v>883.9052599200246</v>
      </c>
      <c r="R60" s="97">
        <v>42000</v>
      </c>
      <c r="S60" s="55" t="s">
        <v>843</v>
      </c>
      <c r="T60" s="92" t="s">
        <v>773</v>
      </c>
      <c r="X60" s="190"/>
    </row>
    <row r="61" spans="1:24" s="186" customFormat="1" ht="18" customHeight="1">
      <c r="A61" s="95">
        <f>A60+1</f>
        <v>32</v>
      </c>
      <c r="B61" s="188" t="s">
        <v>106</v>
      </c>
      <c r="C61" s="92">
        <v>1976</v>
      </c>
      <c r="D61" s="95"/>
      <c r="E61" s="92" t="s">
        <v>94</v>
      </c>
      <c r="F61" s="96">
        <v>2</v>
      </c>
      <c r="G61" s="96">
        <v>3</v>
      </c>
      <c r="H61" s="97">
        <v>933</v>
      </c>
      <c r="I61" s="97">
        <v>843.1</v>
      </c>
      <c r="J61" s="97">
        <v>689.3</v>
      </c>
      <c r="K61" s="96">
        <v>78</v>
      </c>
      <c r="L61" s="97">
        <f>'виды работ  (2)'!C60</f>
        <v>2613875</v>
      </c>
      <c r="M61" s="97">
        <v>0</v>
      </c>
      <c r="N61" s="97">
        <v>0</v>
      </c>
      <c r="O61" s="97">
        <v>0</v>
      </c>
      <c r="P61" s="97">
        <f>L61</f>
        <v>2613875</v>
      </c>
      <c r="Q61" s="97">
        <f t="shared" si="1"/>
        <v>2801.5809217577707</v>
      </c>
      <c r="R61" s="97">
        <v>42000</v>
      </c>
      <c r="S61" s="55" t="s">
        <v>843</v>
      </c>
      <c r="T61" s="92" t="s">
        <v>773</v>
      </c>
      <c r="X61" s="190"/>
    </row>
    <row r="62" spans="1:24" s="186" customFormat="1" ht="18" customHeight="1">
      <c r="A62" s="117" t="s">
        <v>597</v>
      </c>
      <c r="B62" s="117"/>
      <c r="C62" s="86" t="s">
        <v>430</v>
      </c>
      <c r="D62" s="86" t="s">
        <v>430</v>
      </c>
      <c r="E62" s="86" t="s">
        <v>430</v>
      </c>
      <c r="F62" s="86" t="s">
        <v>430</v>
      </c>
      <c r="G62" s="86" t="s">
        <v>430</v>
      </c>
      <c r="H62" s="97">
        <f>SUM(H60:H61)</f>
        <v>2558.5</v>
      </c>
      <c r="I62" s="97">
        <f aca="true" t="shared" si="14" ref="I62:P62">SUM(I60:I61)</f>
        <v>2290.6</v>
      </c>
      <c r="J62" s="97">
        <f t="shared" si="14"/>
        <v>1942</v>
      </c>
      <c r="K62" s="96">
        <f t="shared" si="14"/>
        <v>170</v>
      </c>
      <c r="L62" s="97">
        <f t="shared" si="14"/>
        <v>4050663</v>
      </c>
      <c r="M62" s="97">
        <f t="shared" si="14"/>
        <v>0</v>
      </c>
      <c r="N62" s="97">
        <f t="shared" si="14"/>
        <v>0</v>
      </c>
      <c r="O62" s="97">
        <f t="shared" si="14"/>
        <v>0</v>
      </c>
      <c r="P62" s="97">
        <f t="shared" si="14"/>
        <v>4050663</v>
      </c>
      <c r="Q62" s="97">
        <f t="shared" si="1"/>
        <v>1583.217901113934</v>
      </c>
      <c r="R62" s="56" t="s">
        <v>430</v>
      </c>
      <c r="S62" s="56" t="s">
        <v>430</v>
      </c>
      <c r="T62" s="56" t="s">
        <v>430</v>
      </c>
      <c r="U62" s="190"/>
      <c r="X62" s="190"/>
    </row>
    <row r="63" spans="1:24" s="186" customFormat="1" ht="18" customHeight="1">
      <c r="A63" s="132" t="s">
        <v>677</v>
      </c>
      <c r="B63" s="132"/>
      <c r="C63" s="132"/>
      <c r="D63" s="132"/>
      <c r="E63" s="132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X63" s="190"/>
    </row>
    <row r="64" spans="1:24" s="186" customFormat="1" ht="18" customHeight="1">
      <c r="A64" s="95">
        <f>A61+1</f>
        <v>33</v>
      </c>
      <c r="B64" s="188" t="s">
        <v>108</v>
      </c>
      <c r="C64" s="92">
        <v>1981</v>
      </c>
      <c r="D64" s="97"/>
      <c r="E64" s="92" t="s">
        <v>700</v>
      </c>
      <c r="F64" s="96">
        <v>3</v>
      </c>
      <c r="G64" s="96">
        <v>2</v>
      </c>
      <c r="H64" s="92">
        <v>1339.2</v>
      </c>
      <c r="I64" s="97">
        <v>1210</v>
      </c>
      <c r="J64" s="97">
        <v>1210</v>
      </c>
      <c r="K64" s="96">
        <v>28</v>
      </c>
      <c r="L64" s="97">
        <f>'виды работ  (2)'!C63</f>
        <v>1135949</v>
      </c>
      <c r="M64" s="97">
        <v>0</v>
      </c>
      <c r="N64" s="97">
        <v>0</v>
      </c>
      <c r="O64" s="97">
        <v>0</v>
      </c>
      <c r="P64" s="97">
        <f>L64</f>
        <v>1135949</v>
      </c>
      <c r="Q64" s="97">
        <f t="shared" si="1"/>
        <v>848.2295400238949</v>
      </c>
      <c r="R64" s="97">
        <v>42000</v>
      </c>
      <c r="S64" s="55" t="s">
        <v>843</v>
      </c>
      <c r="T64" s="92" t="s">
        <v>773</v>
      </c>
      <c r="X64" s="190"/>
    </row>
    <row r="65" spans="1:24" s="186" customFormat="1" ht="18" customHeight="1">
      <c r="A65" s="117" t="s">
        <v>597</v>
      </c>
      <c r="B65" s="117"/>
      <c r="C65" s="86" t="s">
        <v>430</v>
      </c>
      <c r="D65" s="86" t="s">
        <v>430</v>
      </c>
      <c r="E65" s="86" t="s">
        <v>430</v>
      </c>
      <c r="F65" s="86" t="s">
        <v>430</v>
      </c>
      <c r="G65" s="86" t="s">
        <v>430</v>
      </c>
      <c r="H65" s="97">
        <f aca="true" t="shared" si="15" ref="H65:P65">SUM(H64)</f>
        <v>1339.2</v>
      </c>
      <c r="I65" s="97">
        <f t="shared" si="15"/>
        <v>1210</v>
      </c>
      <c r="J65" s="97">
        <f t="shared" si="15"/>
        <v>1210</v>
      </c>
      <c r="K65" s="96">
        <f t="shared" si="15"/>
        <v>28</v>
      </c>
      <c r="L65" s="97">
        <f t="shared" si="15"/>
        <v>1135949</v>
      </c>
      <c r="M65" s="97">
        <f t="shared" si="15"/>
        <v>0</v>
      </c>
      <c r="N65" s="97">
        <f t="shared" si="15"/>
        <v>0</v>
      </c>
      <c r="O65" s="97">
        <f t="shared" si="15"/>
        <v>0</v>
      </c>
      <c r="P65" s="97">
        <f t="shared" si="15"/>
        <v>1135949</v>
      </c>
      <c r="Q65" s="97">
        <f t="shared" si="1"/>
        <v>848.2295400238949</v>
      </c>
      <c r="R65" s="56" t="s">
        <v>430</v>
      </c>
      <c r="S65" s="56" t="s">
        <v>430</v>
      </c>
      <c r="T65" s="56" t="s">
        <v>430</v>
      </c>
      <c r="U65" s="190"/>
      <c r="X65" s="190"/>
    </row>
    <row r="66" spans="1:24" s="186" customFormat="1" ht="18" customHeight="1">
      <c r="A66" s="132" t="s">
        <v>604</v>
      </c>
      <c r="B66" s="132"/>
      <c r="C66" s="132"/>
      <c r="D66" s="132"/>
      <c r="E66" s="132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X66" s="190"/>
    </row>
    <row r="67" spans="1:24" s="186" customFormat="1" ht="18" customHeight="1">
      <c r="A67" s="95">
        <f>A64+1</f>
        <v>34</v>
      </c>
      <c r="B67" s="188" t="s">
        <v>109</v>
      </c>
      <c r="C67" s="39">
        <v>1960</v>
      </c>
      <c r="D67" s="97"/>
      <c r="E67" s="86" t="s">
        <v>94</v>
      </c>
      <c r="F67" s="96">
        <v>2</v>
      </c>
      <c r="G67" s="96">
        <v>2</v>
      </c>
      <c r="H67" s="97">
        <v>650.7</v>
      </c>
      <c r="I67" s="97">
        <v>349</v>
      </c>
      <c r="J67" s="97">
        <v>220</v>
      </c>
      <c r="K67" s="96">
        <v>22</v>
      </c>
      <c r="L67" s="97">
        <f>'виды работ  (2)'!C66</f>
        <v>1409801</v>
      </c>
      <c r="M67" s="97">
        <v>0</v>
      </c>
      <c r="N67" s="97">
        <v>0</v>
      </c>
      <c r="O67" s="97">
        <v>0</v>
      </c>
      <c r="P67" s="97">
        <f>L67</f>
        <v>1409801</v>
      </c>
      <c r="Q67" s="97">
        <f t="shared" si="1"/>
        <v>2166.5913631473795</v>
      </c>
      <c r="R67" s="97">
        <v>42000</v>
      </c>
      <c r="S67" s="55" t="s">
        <v>843</v>
      </c>
      <c r="T67" s="92" t="s">
        <v>773</v>
      </c>
      <c r="X67" s="190"/>
    </row>
    <row r="68" spans="1:24" s="186" customFormat="1" ht="18" customHeight="1">
      <c r="A68" s="117" t="s">
        <v>597</v>
      </c>
      <c r="B68" s="117"/>
      <c r="C68" s="86" t="s">
        <v>430</v>
      </c>
      <c r="D68" s="86" t="s">
        <v>430</v>
      </c>
      <c r="E68" s="86" t="s">
        <v>430</v>
      </c>
      <c r="F68" s="86" t="s">
        <v>430</v>
      </c>
      <c r="G68" s="86" t="s">
        <v>430</v>
      </c>
      <c r="H68" s="97">
        <f>SUM(H67)</f>
        <v>650.7</v>
      </c>
      <c r="I68" s="97">
        <f aca="true" t="shared" si="16" ref="I68:P68">SUM(I67)</f>
        <v>349</v>
      </c>
      <c r="J68" s="97">
        <f t="shared" si="16"/>
        <v>220</v>
      </c>
      <c r="K68" s="96">
        <f t="shared" si="16"/>
        <v>22</v>
      </c>
      <c r="L68" s="97">
        <f t="shared" si="16"/>
        <v>1409801</v>
      </c>
      <c r="M68" s="97">
        <f t="shared" si="16"/>
        <v>0</v>
      </c>
      <c r="N68" s="97">
        <f t="shared" si="16"/>
        <v>0</v>
      </c>
      <c r="O68" s="97">
        <f t="shared" si="16"/>
        <v>0</v>
      </c>
      <c r="P68" s="97">
        <f t="shared" si="16"/>
        <v>1409801</v>
      </c>
      <c r="Q68" s="97">
        <f t="shared" si="1"/>
        <v>2166.5913631473795</v>
      </c>
      <c r="R68" s="56" t="s">
        <v>430</v>
      </c>
      <c r="S68" s="56" t="s">
        <v>430</v>
      </c>
      <c r="T68" s="56" t="s">
        <v>430</v>
      </c>
      <c r="U68" s="190"/>
      <c r="X68" s="190"/>
    </row>
    <row r="69" spans="1:24" s="186" customFormat="1" ht="18" customHeight="1">
      <c r="A69" s="132" t="s">
        <v>678</v>
      </c>
      <c r="B69" s="132"/>
      <c r="C69" s="132"/>
      <c r="D69" s="132"/>
      <c r="E69" s="132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X69" s="190"/>
    </row>
    <row r="70" spans="1:24" s="186" customFormat="1" ht="18" customHeight="1">
      <c r="A70" s="95">
        <f>A67+1</f>
        <v>35</v>
      </c>
      <c r="B70" s="188" t="s">
        <v>110</v>
      </c>
      <c r="C70" s="39">
        <v>1971</v>
      </c>
      <c r="D70" s="97"/>
      <c r="E70" s="86" t="s">
        <v>411</v>
      </c>
      <c r="F70" s="96">
        <v>5</v>
      </c>
      <c r="G70" s="96">
        <v>6</v>
      </c>
      <c r="H70" s="97">
        <v>4729</v>
      </c>
      <c r="I70" s="97">
        <v>4412</v>
      </c>
      <c r="J70" s="97">
        <v>3685</v>
      </c>
      <c r="K70" s="96">
        <v>206</v>
      </c>
      <c r="L70" s="97">
        <f>'виды работ  (2)'!C69</f>
        <v>2329370</v>
      </c>
      <c r="M70" s="97">
        <v>0</v>
      </c>
      <c r="N70" s="97">
        <v>0</v>
      </c>
      <c r="O70" s="97">
        <v>0</v>
      </c>
      <c r="P70" s="97">
        <f>L70</f>
        <v>2329370</v>
      </c>
      <c r="Q70" s="97">
        <f t="shared" si="1"/>
        <v>492.57136815394375</v>
      </c>
      <c r="R70" s="97">
        <v>42000</v>
      </c>
      <c r="S70" s="55" t="s">
        <v>843</v>
      </c>
      <c r="T70" s="92" t="s">
        <v>773</v>
      </c>
      <c r="X70" s="190"/>
    </row>
    <row r="71" spans="1:24" s="186" customFormat="1" ht="18" customHeight="1">
      <c r="A71" s="117" t="s">
        <v>597</v>
      </c>
      <c r="B71" s="117"/>
      <c r="C71" s="86" t="s">
        <v>430</v>
      </c>
      <c r="D71" s="86" t="s">
        <v>430</v>
      </c>
      <c r="E71" s="86" t="s">
        <v>430</v>
      </c>
      <c r="F71" s="86" t="s">
        <v>430</v>
      </c>
      <c r="G71" s="86" t="s">
        <v>430</v>
      </c>
      <c r="H71" s="97">
        <f>SUM(H70)</f>
        <v>4729</v>
      </c>
      <c r="I71" s="97">
        <f aca="true" t="shared" si="17" ref="I71:P71">SUM(I70)</f>
        <v>4412</v>
      </c>
      <c r="J71" s="97">
        <f t="shared" si="17"/>
        <v>3685</v>
      </c>
      <c r="K71" s="96">
        <f t="shared" si="17"/>
        <v>206</v>
      </c>
      <c r="L71" s="97">
        <f t="shared" si="17"/>
        <v>2329370</v>
      </c>
      <c r="M71" s="97">
        <f t="shared" si="17"/>
        <v>0</v>
      </c>
      <c r="N71" s="97">
        <f t="shared" si="17"/>
        <v>0</v>
      </c>
      <c r="O71" s="97">
        <f t="shared" si="17"/>
        <v>0</v>
      </c>
      <c r="P71" s="97">
        <f t="shared" si="17"/>
        <v>2329370</v>
      </c>
      <c r="Q71" s="97">
        <f t="shared" si="1"/>
        <v>492.57136815394375</v>
      </c>
      <c r="R71" s="56" t="s">
        <v>430</v>
      </c>
      <c r="S71" s="56" t="s">
        <v>430</v>
      </c>
      <c r="T71" s="56" t="s">
        <v>430</v>
      </c>
      <c r="U71" s="190"/>
      <c r="X71" s="190"/>
    </row>
    <row r="72" spans="1:24" s="186" customFormat="1" ht="18" customHeight="1">
      <c r="A72" s="140" t="s">
        <v>605</v>
      </c>
      <c r="B72" s="140"/>
      <c r="C72" s="140"/>
      <c r="D72" s="81" t="s">
        <v>430</v>
      </c>
      <c r="E72" s="81" t="s">
        <v>430</v>
      </c>
      <c r="F72" s="81" t="s">
        <v>430</v>
      </c>
      <c r="G72" s="81" t="s">
        <v>430</v>
      </c>
      <c r="H72" s="97">
        <f>H51+H55+H58+H62+H65+H68+H71</f>
        <v>27876.22</v>
      </c>
      <c r="I72" s="97">
        <f aca="true" t="shared" si="18" ref="I72:O72">I51+I55+I58+I62+I65+I68+I71</f>
        <v>21728.22</v>
      </c>
      <c r="J72" s="97">
        <f t="shared" si="18"/>
        <v>17233.489999999998</v>
      </c>
      <c r="K72" s="96">
        <f t="shared" si="18"/>
        <v>1226</v>
      </c>
      <c r="L72" s="97">
        <f t="shared" si="18"/>
        <v>24405908</v>
      </c>
      <c r="M72" s="97">
        <f t="shared" si="18"/>
        <v>0</v>
      </c>
      <c r="N72" s="97">
        <f t="shared" si="18"/>
        <v>0</v>
      </c>
      <c r="O72" s="97">
        <f t="shared" si="18"/>
        <v>0</v>
      </c>
      <c r="P72" s="97">
        <f>P51+P55+P58+P62+P65+P68+P71</f>
        <v>24405908</v>
      </c>
      <c r="Q72" s="97">
        <f t="shared" si="1"/>
        <v>875.5099507752485</v>
      </c>
      <c r="R72" s="56" t="s">
        <v>430</v>
      </c>
      <c r="S72" s="56" t="s">
        <v>430</v>
      </c>
      <c r="T72" s="56" t="s">
        <v>430</v>
      </c>
      <c r="U72" s="190"/>
      <c r="X72" s="190"/>
    </row>
    <row r="73" spans="1:24" s="186" customFormat="1" ht="18" customHeight="1">
      <c r="A73" s="178" t="s">
        <v>606</v>
      </c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X73" s="190"/>
    </row>
    <row r="74" spans="1:24" s="186" customFormat="1" ht="15">
      <c r="A74" s="181" t="s">
        <v>607</v>
      </c>
      <c r="B74" s="181"/>
      <c r="C74" s="181"/>
      <c r="D74" s="181"/>
      <c r="E74" s="181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X74" s="190"/>
    </row>
    <row r="75" spans="1:24" s="186" customFormat="1" ht="15">
      <c r="A75" s="96">
        <f>A70+1</f>
        <v>36</v>
      </c>
      <c r="B75" s="13" t="s">
        <v>113</v>
      </c>
      <c r="C75" s="92">
        <v>1953</v>
      </c>
      <c r="D75" s="95"/>
      <c r="E75" s="86" t="s">
        <v>94</v>
      </c>
      <c r="F75" s="95">
        <v>3</v>
      </c>
      <c r="G75" s="95">
        <v>5</v>
      </c>
      <c r="H75" s="97">
        <v>2423.7</v>
      </c>
      <c r="I75" s="97">
        <v>1351</v>
      </c>
      <c r="J75" s="97">
        <v>1329.1</v>
      </c>
      <c r="K75" s="96">
        <v>73</v>
      </c>
      <c r="L75" s="97">
        <f>'виды работ  (2)'!C74</f>
        <v>3840364</v>
      </c>
      <c r="M75" s="97">
        <v>0</v>
      </c>
      <c r="N75" s="97">
        <v>0</v>
      </c>
      <c r="O75" s="97">
        <v>0</v>
      </c>
      <c r="P75" s="97">
        <f aca="true" t="shared" si="19" ref="P75:P82">L75</f>
        <v>3840364</v>
      </c>
      <c r="Q75" s="97">
        <f aca="true" t="shared" si="20" ref="Q75:Q82">L75/H75</f>
        <v>1584.504682922804</v>
      </c>
      <c r="R75" s="97">
        <v>42000</v>
      </c>
      <c r="S75" s="55" t="s">
        <v>843</v>
      </c>
      <c r="T75" s="92" t="s">
        <v>773</v>
      </c>
      <c r="X75" s="190"/>
    </row>
    <row r="76" spans="1:24" s="186" customFormat="1" ht="15">
      <c r="A76" s="96">
        <f aca="true" t="shared" si="21" ref="A76:A82">A75+1</f>
        <v>37</v>
      </c>
      <c r="B76" s="13" t="s">
        <v>777</v>
      </c>
      <c r="C76" s="95">
        <v>1978</v>
      </c>
      <c r="D76" s="95"/>
      <c r="E76" s="92" t="s">
        <v>700</v>
      </c>
      <c r="F76" s="95">
        <v>5</v>
      </c>
      <c r="G76" s="95">
        <v>7</v>
      </c>
      <c r="H76" s="97">
        <v>4791.16</v>
      </c>
      <c r="I76" s="97">
        <v>4230.6</v>
      </c>
      <c r="J76" s="97">
        <v>3656.4</v>
      </c>
      <c r="K76" s="96">
        <v>190</v>
      </c>
      <c r="L76" s="97">
        <f>'виды работ  (2)'!C75</f>
        <v>4398925</v>
      </c>
      <c r="M76" s="97">
        <v>0</v>
      </c>
      <c r="N76" s="97">
        <v>0</v>
      </c>
      <c r="O76" s="97">
        <v>0</v>
      </c>
      <c r="P76" s="97">
        <f>L76</f>
        <v>4398925</v>
      </c>
      <c r="Q76" s="97">
        <f>L76/H76</f>
        <v>918.1336043880814</v>
      </c>
      <c r="R76" s="97">
        <v>42000</v>
      </c>
      <c r="S76" s="55" t="s">
        <v>843</v>
      </c>
      <c r="T76" s="92" t="s">
        <v>773</v>
      </c>
      <c r="X76" s="190"/>
    </row>
    <row r="77" spans="1:24" s="186" customFormat="1" ht="15">
      <c r="A77" s="10">
        <f t="shared" si="21"/>
        <v>38</v>
      </c>
      <c r="B77" s="13" t="s">
        <v>114</v>
      </c>
      <c r="C77" s="92">
        <v>1961</v>
      </c>
      <c r="D77" s="95"/>
      <c r="E77" s="86" t="s">
        <v>94</v>
      </c>
      <c r="F77" s="95">
        <v>4</v>
      </c>
      <c r="G77" s="95">
        <v>4</v>
      </c>
      <c r="H77" s="97">
        <v>2836.18</v>
      </c>
      <c r="I77" s="97">
        <v>2472.6</v>
      </c>
      <c r="J77" s="97">
        <v>2354.9</v>
      </c>
      <c r="K77" s="96">
        <v>111</v>
      </c>
      <c r="L77" s="97">
        <f>'виды работ  (2)'!C76</f>
        <v>3361373</v>
      </c>
      <c r="M77" s="97">
        <v>0</v>
      </c>
      <c r="N77" s="97">
        <v>0</v>
      </c>
      <c r="O77" s="97">
        <v>0</v>
      </c>
      <c r="P77" s="97">
        <f t="shared" si="19"/>
        <v>3361373</v>
      </c>
      <c r="Q77" s="97">
        <f t="shared" si="20"/>
        <v>1185.1761876890748</v>
      </c>
      <c r="R77" s="97">
        <v>42000</v>
      </c>
      <c r="S77" s="55" t="s">
        <v>843</v>
      </c>
      <c r="T77" s="92" t="s">
        <v>773</v>
      </c>
      <c r="X77" s="190"/>
    </row>
    <row r="78" spans="1:24" s="186" customFormat="1" ht="15">
      <c r="A78" s="10">
        <f t="shared" si="21"/>
        <v>39</v>
      </c>
      <c r="B78" s="13" t="s">
        <v>775</v>
      </c>
      <c r="C78" s="95">
        <v>1963</v>
      </c>
      <c r="D78" s="95"/>
      <c r="E78" s="86" t="s">
        <v>94</v>
      </c>
      <c r="F78" s="95">
        <v>5</v>
      </c>
      <c r="G78" s="95">
        <v>3</v>
      </c>
      <c r="H78" s="97">
        <v>2752.45</v>
      </c>
      <c r="I78" s="97">
        <v>2539.5</v>
      </c>
      <c r="J78" s="97">
        <v>2276.6</v>
      </c>
      <c r="K78" s="96">
        <v>150</v>
      </c>
      <c r="L78" s="97">
        <f>'виды работ  (2)'!C77</f>
        <v>506067</v>
      </c>
      <c r="M78" s="97">
        <v>0</v>
      </c>
      <c r="N78" s="97">
        <v>0</v>
      </c>
      <c r="O78" s="97">
        <v>0</v>
      </c>
      <c r="P78" s="97">
        <f t="shared" si="19"/>
        <v>506067</v>
      </c>
      <c r="Q78" s="97">
        <f>L78/H78</f>
        <v>183.86056059147307</v>
      </c>
      <c r="R78" s="97">
        <v>42000</v>
      </c>
      <c r="S78" s="55" t="s">
        <v>843</v>
      </c>
      <c r="T78" s="92" t="s">
        <v>773</v>
      </c>
      <c r="X78" s="190"/>
    </row>
    <row r="79" spans="1:24" s="186" customFormat="1" ht="15">
      <c r="A79" s="10">
        <f t="shared" si="21"/>
        <v>40</v>
      </c>
      <c r="B79" s="13" t="s">
        <v>776</v>
      </c>
      <c r="C79" s="95">
        <v>1959</v>
      </c>
      <c r="D79" s="95"/>
      <c r="E79" s="86" t="s">
        <v>94</v>
      </c>
      <c r="F79" s="95">
        <v>3</v>
      </c>
      <c r="G79" s="95">
        <v>4</v>
      </c>
      <c r="H79" s="97">
        <v>2354.21</v>
      </c>
      <c r="I79" s="97">
        <v>2006.8</v>
      </c>
      <c r="J79" s="97">
        <v>1844.8</v>
      </c>
      <c r="K79" s="96">
        <v>90</v>
      </c>
      <c r="L79" s="97">
        <f>'виды работ  (2)'!C78</f>
        <v>3227460</v>
      </c>
      <c r="M79" s="97">
        <v>0</v>
      </c>
      <c r="N79" s="97">
        <v>0</v>
      </c>
      <c r="O79" s="97">
        <v>0</v>
      </c>
      <c r="P79" s="97">
        <f t="shared" si="19"/>
        <v>3227460</v>
      </c>
      <c r="Q79" s="97">
        <f>L79/H79</f>
        <v>1370.931225336737</v>
      </c>
      <c r="R79" s="97">
        <v>42000</v>
      </c>
      <c r="S79" s="55" t="s">
        <v>843</v>
      </c>
      <c r="T79" s="92" t="s">
        <v>773</v>
      </c>
      <c r="X79" s="190"/>
    </row>
    <row r="80" spans="1:24" s="186" customFormat="1" ht="15">
      <c r="A80" s="10">
        <f t="shared" si="21"/>
        <v>41</v>
      </c>
      <c r="B80" s="13" t="s">
        <v>112</v>
      </c>
      <c r="C80" s="92">
        <v>1934</v>
      </c>
      <c r="D80" s="95"/>
      <c r="E80" s="86" t="s">
        <v>94</v>
      </c>
      <c r="F80" s="95">
        <v>4</v>
      </c>
      <c r="G80" s="95">
        <v>6</v>
      </c>
      <c r="H80" s="97">
        <v>3535.3</v>
      </c>
      <c r="I80" s="97">
        <v>2895.4</v>
      </c>
      <c r="J80" s="97">
        <v>2735.8</v>
      </c>
      <c r="K80" s="96">
        <v>139</v>
      </c>
      <c r="L80" s="97">
        <f>'виды работ  (2)'!C79</f>
        <v>3610303</v>
      </c>
      <c r="M80" s="97">
        <v>0</v>
      </c>
      <c r="N80" s="97">
        <v>0</v>
      </c>
      <c r="O80" s="97">
        <v>0</v>
      </c>
      <c r="P80" s="97">
        <f t="shared" si="19"/>
        <v>3610303</v>
      </c>
      <c r="Q80" s="97">
        <f t="shared" si="20"/>
        <v>1021.2154555483269</v>
      </c>
      <c r="R80" s="97">
        <v>42000</v>
      </c>
      <c r="S80" s="55" t="s">
        <v>843</v>
      </c>
      <c r="T80" s="92" t="s">
        <v>773</v>
      </c>
      <c r="X80" s="190"/>
    </row>
    <row r="81" spans="1:24" s="186" customFormat="1" ht="15">
      <c r="A81" s="10">
        <f t="shared" si="21"/>
        <v>42</v>
      </c>
      <c r="B81" s="13" t="s">
        <v>115</v>
      </c>
      <c r="C81" s="92">
        <v>1961</v>
      </c>
      <c r="D81" s="95"/>
      <c r="E81" s="86" t="s">
        <v>94</v>
      </c>
      <c r="F81" s="95">
        <v>4</v>
      </c>
      <c r="G81" s="95">
        <v>3</v>
      </c>
      <c r="H81" s="97">
        <v>2275.94</v>
      </c>
      <c r="I81" s="97">
        <v>1889.2</v>
      </c>
      <c r="J81" s="97">
        <v>1792.9</v>
      </c>
      <c r="K81" s="96">
        <v>69</v>
      </c>
      <c r="L81" s="97">
        <f>'виды работ  (2)'!C80</f>
        <v>335766</v>
      </c>
      <c r="M81" s="97">
        <v>0</v>
      </c>
      <c r="N81" s="97">
        <v>0</v>
      </c>
      <c r="O81" s="97">
        <v>0</v>
      </c>
      <c r="P81" s="97">
        <f t="shared" si="19"/>
        <v>335766</v>
      </c>
      <c r="Q81" s="97">
        <f t="shared" si="20"/>
        <v>147.5284937212756</v>
      </c>
      <c r="R81" s="97">
        <v>42000</v>
      </c>
      <c r="S81" s="55" t="s">
        <v>843</v>
      </c>
      <c r="T81" s="92" t="s">
        <v>773</v>
      </c>
      <c r="X81" s="190"/>
    </row>
    <row r="82" spans="1:24" s="186" customFormat="1" ht="15">
      <c r="A82" s="10">
        <f t="shared" si="21"/>
        <v>43</v>
      </c>
      <c r="B82" s="13" t="s">
        <v>111</v>
      </c>
      <c r="C82" s="92">
        <v>1958</v>
      </c>
      <c r="D82" s="95"/>
      <c r="E82" s="86" t="s">
        <v>94</v>
      </c>
      <c r="F82" s="95">
        <v>3</v>
      </c>
      <c r="G82" s="95">
        <v>4</v>
      </c>
      <c r="H82" s="97">
        <v>2449.7</v>
      </c>
      <c r="I82" s="97">
        <v>1931.8</v>
      </c>
      <c r="J82" s="97">
        <v>1643.58</v>
      </c>
      <c r="K82" s="96">
        <v>77</v>
      </c>
      <c r="L82" s="97">
        <f>'виды работ  (2)'!C81</f>
        <v>4230637</v>
      </c>
      <c r="M82" s="97">
        <v>0</v>
      </c>
      <c r="N82" s="97">
        <v>0</v>
      </c>
      <c r="O82" s="97">
        <v>0</v>
      </c>
      <c r="P82" s="97">
        <f t="shared" si="19"/>
        <v>4230637</v>
      </c>
      <c r="Q82" s="97">
        <f t="shared" si="20"/>
        <v>1727.0020818875782</v>
      </c>
      <c r="R82" s="97">
        <v>42000</v>
      </c>
      <c r="S82" s="55" t="s">
        <v>843</v>
      </c>
      <c r="T82" s="92" t="s">
        <v>773</v>
      </c>
      <c r="X82" s="190"/>
    </row>
    <row r="83" spans="1:24" s="186" customFormat="1" ht="15">
      <c r="A83" s="117" t="s">
        <v>597</v>
      </c>
      <c r="B83" s="117"/>
      <c r="C83" s="86" t="s">
        <v>430</v>
      </c>
      <c r="D83" s="86" t="s">
        <v>430</v>
      </c>
      <c r="E83" s="86" t="s">
        <v>430</v>
      </c>
      <c r="F83" s="86" t="s">
        <v>430</v>
      </c>
      <c r="G83" s="86" t="s">
        <v>430</v>
      </c>
      <c r="H83" s="97">
        <f>SUM(H75:H82)</f>
        <v>23418.639999999996</v>
      </c>
      <c r="I83" s="97">
        <f aca="true" t="shared" si="22" ref="I83:P83">SUM(I75:I82)</f>
        <v>19316.899999999998</v>
      </c>
      <c r="J83" s="97">
        <f t="shared" si="22"/>
        <v>17634.079999999998</v>
      </c>
      <c r="K83" s="96">
        <f t="shared" si="22"/>
        <v>899</v>
      </c>
      <c r="L83" s="97">
        <f>SUM(L75:L82)</f>
        <v>23510895</v>
      </c>
      <c r="M83" s="97">
        <f t="shared" si="22"/>
        <v>0</v>
      </c>
      <c r="N83" s="97">
        <f t="shared" si="22"/>
        <v>0</v>
      </c>
      <c r="O83" s="97">
        <f t="shared" si="22"/>
        <v>0</v>
      </c>
      <c r="P83" s="97">
        <f t="shared" si="22"/>
        <v>23510895</v>
      </c>
      <c r="Q83" s="97">
        <f>L83/H83</f>
        <v>1003.9393833288357</v>
      </c>
      <c r="R83" s="56" t="s">
        <v>430</v>
      </c>
      <c r="S83" s="56" t="s">
        <v>430</v>
      </c>
      <c r="T83" s="56" t="s">
        <v>430</v>
      </c>
      <c r="U83" s="190"/>
      <c r="X83" s="190"/>
    </row>
    <row r="84" spans="1:24" s="186" customFormat="1" ht="15">
      <c r="A84" s="123" t="s">
        <v>608</v>
      </c>
      <c r="B84" s="123"/>
      <c r="C84" s="123"/>
      <c r="D84" s="123"/>
      <c r="E84" s="123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X84" s="190"/>
    </row>
    <row r="85" spans="1:24" s="186" customFormat="1" ht="15">
      <c r="A85" s="96">
        <f>A82+1</f>
        <v>44</v>
      </c>
      <c r="B85" s="188" t="s">
        <v>197</v>
      </c>
      <c r="C85" s="92">
        <v>1971</v>
      </c>
      <c r="D85" s="188"/>
      <c r="E85" s="92" t="s">
        <v>94</v>
      </c>
      <c r="F85" s="95">
        <v>2</v>
      </c>
      <c r="G85" s="95">
        <v>2</v>
      </c>
      <c r="H85" s="97">
        <v>537.41</v>
      </c>
      <c r="I85" s="97">
        <v>479.61</v>
      </c>
      <c r="J85" s="97">
        <v>329.51</v>
      </c>
      <c r="K85" s="96">
        <v>22</v>
      </c>
      <c r="L85" s="97">
        <f>'виды работ  (2)'!C84</f>
        <v>116310</v>
      </c>
      <c r="M85" s="97">
        <v>0</v>
      </c>
      <c r="N85" s="97">
        <v>0</v>
      </c>
      <c r="O85" s="97">
        <v>0</v>
      </c>
      <c r="P85" s="97">
        <f>L85</f>
        <v>116310</v>
      </c>
      <c r="Q85" s="97">
        <f>L85/H85</f>
        <v>216.42693660333825</v>
      </c>
      <c r="R85" s="97">
        <v>42000</v>
      </c>
      <c r="S85" s="55" t="s">
        <v>843</v>
      </c>
      <c r="T85" s="92" t="s">
        <v>773</v>
      </c>
      <c r="X85" s="190"/>
    </row>
    <row r="86" spans="1:24" s="186" customFormat="1" ht="15">
      <c r="A86" s="96">
        <f>A85+1</f>
        <v>45</v>
      </c>
      <c r="B86" s="188" t="s">
        <v>198</v>
      </c>
      <c r="C86" s="92">
        <v>1977</v>
      </c>
      <c r="D86" s="188"/>
      <c r="E86" s="92" t="s">
        <v>411</v>
      </c>
      <c r="F86" s="95">
        <v>3</v>
      </c>
      <c r="G86" s="95">
        <v>3</v>
      </c>
      <c r="H86" s="97">
        <v>1382.34</v>
      </c>
      <c r="I86" s="97">
        <v>1357.02</v>
      </c>
      <c r="J86" s="97">
        <v>1080.35</v>
      </c>
      <c r="K86" s="96">
        <v>66</v>
      </c>
      <c r="L86" s="97">
        <f>'виды работ  (2)'!C85</f>
        <v>2723042</v>
      </c>
      <c r="M86" s="97">
        <v>0</v>
      </c>
      <c r="N86" s="97">
        <v>0</v>
      </c>
      <c r="O86" s="97">
        <v>0</v>
      </c>
      <c r="P86" s="97">
        <f>L86</f>
        <v>2723042</v>
      </c>
      <c r="Q86" s="97">
        <f>L86/H86</f>
        <v>1969.8786116295557</v>
      </c>
      <c r="R86" s="97">
        <v>42000</v>
      </c>
      <c r="S86" s="55" t="s">
        <v>843</v>
      </c>
      <c r="T86" s="92" t="s">
        <v>773</v>
      </c>
      <c r="X86" s="190"/>
    </row>
    <row r="87" spans="1:24" s="186" customFormat="1" ht="15">
      <c r="A87" s="117" t="s">
        <v>597</v>
      </c>
      <c r="B87" s="117"/>
      <c r="C87" s="86" t="s">
        <v>430</v>
      </c>
      <c r="D87" s="86" t="s">
        <v>430</v>
      </c>
      <c r="E87" s="86" t="s">
        <v>430</v>
      </c>
      <c r="F87" s="86" t="s">
        <v>430</v>
      </c>
      <c r="G87" s="86" t="s">
        <v>430</v>
      </c>
      <c r="H87" s="97">
        <f>SUM(H85:H86)</f>
        <v>1919.75</v>
      </c>
      <c r="I87" s="97">
        <f aca="true" t="shared" si="23" ref="I87:P87">SUM(I85:I86)</f>
        <v>1836.63</v>
      </c>
      <c r="J87" s="97">
        <f t="shared" si="23"/>
        <v>1409.86</v>
      </c>
      <c r="K87" s="96">
        <f t="shared" si="23"/>
        <v>88</v>
      </c>
      <c r="L87" s="97">
        <f t="shared" si="23"/>
        <v>2839352</v>
      </c>
      <c r="M87" s="97">
        <f t="shared" si="23"/>
        <v>0</v>
      </c>
      <c r="N87" s="97">
        <f t="shared" si="23"/>
        <v>0</v>
      </c>
      <c r="O87" s="97">
        <f t="shared" si="23"/>
        <v>0</v>
      </c>
      <c r="P87" s="97">
        <f t="shared" si="23"/>
        <v>2839352</v>
      </c>
      <c r="Q87" s="97">
        <f>L87/H87</f>
        <v>1479.0217476233884</v>
      </c>
      <c r="R87" s="56" t="s">
        <v>430</v>
      </c>
      <c r="S87" s="56" t="s">
        <v>430</v>
      </c>
      <c r="T87" s="56" t="s">
        <v>430</v>
      </c>
      <c r="U87" s="190"/>
      <c r="X87" s="190"/>
    </row>
    <row r="88" spans="1:24" s="186" customFormat="1" ht="15">
      <c r="A88" s="123" t="s">
        <v>609</v>
      </c>
      <c r="B88" s="123"/>
      <c r="C88" s="123"/>
      <c r="D88" s="123"/>
      <c r="E88" s="123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X88" s="190"/>
    </row>
    <row r="89" spans="1:24" s="186" customFormat="1" ht="15">
      <c r="A89" s="96">
        <f>A86+1</f>
        <v>46</v>
      </c>
      <c r="B89" s="188" t="s">
        <v>199</v>
      </c>
      <c r="C89" s="92">
        <v>1985</v>
      </c>
      <c r="D89" s="188"/>
      <c r="E89" s="92" t="s">
        <v>411</v>
      </c>
      <c r="F89" s="95">
        <v>3</v>
      </c>
      <c r="G89" s="95">
        <v>3</v>
      </c>
      <c r="H89" s="97">
        <v>1510.5</v>
      </c>
      <c r="I89" s="97">
        <v>1370.8</v>
      </c>
      <c r="J89" s="97">
        <v>788.3</v>
      </c>
      <c r="K89" s="96">
        <v>79</v>
      </c>
      <c r="L89" s="97">
        <f>'виды работ  (2)'!C88</f>
        <v>181774</v>
      </c>
      <c r="M89" s="97">
        <v>0</v>
      </c>
      <c r="N89" s="97">
        <v>0</v>
      </c>
      <c r="O89" s="97">
        <v>0</v>
      </c>
      <c r="P89" s="97">
        <f>L89</f>
        <v>181774</v>
      </c>
      <c r="Q89" s="97">
        <f>L89/H89</f>
        <v>120.34028467394903</v>
      </c>
      <c r="R89" s="97">
        <v>42000</v>
      </c>
      <c r="S89" s="55" t="s">
        <v>843</v>
      </c>
      <c r="T89" s="92" t="s">
        <v>773</v>
      </c>
      <c r="X89" s="190"/>
    </row>
    <row r="90" spans="1:24" s="186" customFormat="1" ht="15">
      <c r="A90" s="96">
        <f>A89+1</f>
        <v>47</v>
      </c>
      <c r="B90" s="188" t="s">
        <v>200</v>
      </c>
      <c r="C90" s="92">
        <v>1988</v>
      </c>
      <c r="D90" s="188"/>
      <c r="E90" s="92" t="s">
        <v>411</v>
      </c>
      <c r="F90" s="95">
        <v>3</v>
      </c>
      <c r="G90" s="95">
        <v>3</v>
      </c>
      <c r="H90" s="97">
        <v>1518.2</v>
      </c>
      <c r="I90" s="97">
        <v>1397.7</v>
      </c>
      <c r="J90" s="97">
        <v>792.6</v>
      </c>
      <c r="K90" s="96">
        <v>90</v>
      </c>
      <c r="L90" s="97">
        <f>'виды работ  (2)'!C89</f>
        <v>287505</v>
      </c>
      <c r="M90" s="97">
        <v>0</v>
      </c>
      <c r="N90" s="97">
        <v>0</v>
      </c>
      <c r="O90" s="97">
        <v>0</v>
      </c>
      <c r="P90" s="97">
        <f>L90</f>
        <v>287505</v>
      </c>
      <c r="Q90" s="97">
        <f>L90/H90</f>
        <v>189.37228296667107</v>
      </c>
      <c r="R90" s="97">
        <v>42000</v>
      </c>
      <c r="S90" s="55" t="s">
        <v>843</v>
      </c>
      <c r="T90" s="92" t="s">
        <v>773</v>
      </c>
      <c r="X90" s="190"/>
    </row>
    <row r="91" spans="1:24" s="186" customFormat="1" ht="15">
      <c r="A91" s="96">
        <f>A90+1</f>
        <v>48</v>
      </c>
      <c r="B91" s="188" t="s">
        <v>201</v>
      </c>
      <c r="C91" s="92">
        <v>1983</v>
      </c>
      <c r="D91" s="188"/>
      <c r="E91" s="92" t="s">
        <v>411</v>
      </c>
      <c r="F91" s="95">
        <v>3</v>
      </c>
      <c r="G91" s="95">
        <v>3</v>
      </c>
      <c r="H91" s="97">
        <v>1497.8</v>
      </c>
      <c r="I91" s="97">
        <v>1358.7</v>
      </c>
      <c r="J91" s="97">
        <v>770.7</v>
      </c>
      <c r="K91" s="96">
        <v>63</v>
      </c>
      <c r="L91" s="97">
        <f>'виды работ  (2)'!C90</f>
        <v>289241</v>
      </c>
      <c r="M91" s="97">
        <v>0</v>
      </c>
      <c r="N91" s="97">
        <v>0</v>
      </c>
      <c r="O91" s="97">
        <v>0</v>
      </c>
      <c r="P91" s="97">
        <f>L91</f>
        <v>289241</v>
      </c>
      <c r="Q91" s="97">
        <f>L91/H91</f>
        <v>193.11056215783148</v>
      </c>
      <c r="R91" s="97">
        <v>42000</v>
      </c>
      <c r="S91" s="55" t="s">
        <v>843</v>
      </c>
      <c r="T91" s="92" t="s">
        <v>773</v>
      </c>
      <c r="X91" s="190"/>
    </row>
    <row r="92" spans="1:24" s="186" customFormat="1" ht="15">
      <c r="A92" s="117" t="s">
        <v>597</v>
      </c>
      <c r="B92" s="117"/>
      <c r="C92" s="86" t="s">
        <v>430</v>
      </c>
      <c r="D92" s="86" t="s">
        <v>430</v>
      </c>
      <c r="E92" s="86" t="s">
        <v>430</v>
      </c>
      <c r="F92" s="86" t="s">
        <v>430</v>
      </c>
      <c r="G92" s="86" t="s">
        <v>430</v>
      </c>
      <c r="H92" s="97">
        <f>SUM(H89:H91)</f>
        <v>4526.5</v>
      </c>
      <c r="I92" s="97">
        <f aca="true" t="shared" si="24" ref="I92:P92">SUM(I89:I91)</f>
        <v>4127.2</v>
      </c>
      <c r="J92" s="97">
        <f t="shared" si="24"/>
        <v>2351.6000000000004</v>
      </c>
      <c r="K92" s="96">
        <f t="shared" si="24"/>
        <v>232</v>
      </c>
      <c r="L92" s="97">
        <f>SUM(L89:L91)</f>
        <v>758520</v>
      </c>
      <c r="M92" s="97">
        <f t="shared" si="24"/>
        <v>0</v>
      </c>
      <c r="N92" s="97">
        <f t="shared" si="24"/>
        <v>0</v>
      </c>
      <c r="O92" s="97">
        <f t="shared" si="24"/>
        <v>0</v>
      </c>
      <c r="P92" s="97">
        <f t="shared" si="24"/>
        <v>758520</v>
      </c>
      <c r="Q92" s="97">
        <f>L92/H92</f>
        <v>167.57318016127252</v>
      </c>
      <c r="R92" s="56" t="s">
        <v>430</v>
      </c>
      <c r="S92" s="56" t="s">
        <v>430</v>
      </c>
      <c r="T92" s="56" t="s">
        <v>430</v>
      </c>
      <c r="U92" s="190"/>
      <c r="X92" s="190"/>
    </row>
    <row r="93" spans="1:24" s="186" customFormat="1" ht="15">
      <c r="A93" s="123" t="s">
        <v>610</v>
      </c>
      <c r="B93" s="123"/>
      <c r="C93" s="123"/>
      <c r="D93" s="123"/>
      <c r="E93" s="123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X93" s="190"/>
    </row>
    <row r="94" spans="1:24" s="186" customFormat="1" ht="15">
      <c r="A94" s="96">
        <f>A91+1</f>
        <v>49</v>
      </c>
      <c r="B94" s="188" t="s">
        <v>194</v>
      </c>
      <c r="C94" s="95">
        <v>1971</v>
      </c>
      <c r="D94" s="95"/>
      <c r="E94" s="92" t="s">
        <v>94</v>
      </c>
      <c r="F94" s="95">
        <v>2</v>
      </c>
      <c r="G94" s="95">
        <v>2</v>
      </c>
      <c r="H94" s="71">
        <v>711.93</v>
      </c>
      <c r="I94" s="196">
        <v>539.58</v>
      </c>
      <c r="J94" s="71">
        <v>172.35</v>
      </c>
      <c r="K94" s="197">
        <v>26</v>
      </c>
      <c r="L94" s="97">
        <f>'виды работ  (2)'!C93</f>
        <v>1140000</v>
      </c>
      <c r="M94" s="97">
        <v>0</v>
      </c>
      <c r="N94" s="97">
        <v>0</v>
      </c>
      <c r="O94" s="97">
        <v>0</v>
      </c>
      <c r="P94" s="97">
        <f>L94</f>
        <v>1140000</v>
      </c>
      <c r="Q94" s="97">
        <f>L94/H94</f>
        <v>1601.281024819856</v>
      </c>
      <c r="R94" s="97">
        <v>42000</v>
      </c>
      <c r="S94" s="55" t="s">
        <v>843</v>
      </c>
      <c r="T94" s="92" t="s">
        <v>773</v>
      </c>
      <c r="X94" s="190"/>
    </row>
    <row r="95" spans="1:24" s="186" customFormat="1" ht="15">
      <c r="A95" s="96">
        <f>A94+1</f>
        <v>50</v>
      </c>
      <c r="B95" s="188" t="s">
        <v>195</v>
      </c>
      <c r="C95" s="95">
        <v>1971</v>
      </c>
      <c r="D95" s="95"/>
      <c r="E95" s="92" t="s">
        <v>94</v>
      </c>
      <c r="F95" s="95">
        <v>2</v>
      </c>
      <c r="G95" s="95">
        <v>2</v>
      </c>
      <c r="H95" s="71">
        <v>711.93</v>
      </c>
      <c r="I95" s="196">
        <v>537.57</v>
      </c>
      <c r="J95" s="71">
        <v>174.36</v>
      </c>
      <c r="K95" s="197">
        <v>30</v>
      </c>
      <c r="L95" s="97">
        <f>'виды работ  (2)'!C94</f>
        <v>1140000</v>
      </c>
      <c r="M95" s="97">
        <v>0</v>
      </c>
      <c r="N95" s="97">
        <v>0</v>
      </c>
      <c r="O95" s="97">
        <v>0</v>
      </c>
      <c r="P95" s="97">
        <f>L95</f>
        <v>1140000</v>
      </c>
      <c r="Q95" s="97">
        <f>L95/H95</f>
        <v>1601.281024819856</v>
      </c>
      <c r="R95" s="97">
        <v>42000</v>
      </c>
      <c r="S95" s="55" t="s">
        <v>843</v>
      </c>
      <c r="T95" s="92" t="s">
        <v>773</v>
      </c>
      <c r="X95" s="190"/>
    </row>
    <row r="96" spans="1:24" s="186" customFormat="1" ht="15">
      <c r="A96" s="96">
        <f>A95+1</f>
        <v>51</v>
      </c>
      <c r="B96" s="188" t="s">
        <v>196</v>
      </c>
      <c r="C96" s="95">
        <v>1971</v>
      </c>
      <c r="D96" s="95"/>
      <c r="E96" s="92" t="s">
        <v>94</v>
      </c>
      <c r="F96" s="95">
        <v>2</v>
      </c>
      <c r="G96" s="95">
        <v>2</v>
      </c>
      <c r="H96" s="71">
        <v>711.93</v>
      </c>
      <c r="I96" s="196">
        <v>537.57</v>
      </c>
      <c r="J96" s="71">
        <v>174.36</v>
      </c>
      <c r="K96" s="197">
        <v>17</v>
      </c>
      <c r="L96" s="97">
        <f>'виды работ  (2)'!C95</f>
        <v>1140000</v>
      </c>
      <c r="M96" s="97">
        <v>0</v>
      </c>
      <c r="N96" s="97">
        <v>0</v>
      </c>
      <c r="O96" s="97">
        <v>0</v>
      </c>
      <c r="P96" s="97">
        <f>L96</f>
        <v>1140000</v>
      </c>
      <c r="Q96" s="97">
        <f>L96/H96</f>
        <v>1601.281024819856</v>
      </c>
      <c r="R96" s="97">
        <v>42000</v>
      </c>
      <c r="S96" s="55" t="s">
        <v>843</v>
      </c>
      <c r="T96" s="92" t="s">
        <v>773</v>
      </c>
      <c r="X96" s="190"/>
    </row>
    <row r="97" spans="1:24" s="186" customFormat="1" ht="15">
      <c r="A97" s="117" t="s">
        <v>597</v>
      </c>
      <c r="B97" s="117"/>
      <c r="C97" s="86" t="s">
        <v>430</v>
      </c>
      <c r="D97" s="86" t="s">
        <v>430</v>
      </c>
      <c r="E97" s="86" t="s">
        <v>430</v>
      </c>
      <c r="F97" s="86" t="s">
        <v>430</v>
      </c>
      <c r="G97" s="86" t="s">
        <v>430</v>
      </c>
      <c r="H97" s="97">
        <f>SUM(H94:H96)</f>
        <v>2135.79</v>
      </c>
      <c r="I97" s="97">
        <f aca="true" t="shared" si="25" ref="I97:P97">SUM(I94:I96)</f>
        <v>1614.7200000000003</v>
      </c>
      <c r="J97" s="97">
        <f t="shared" si="25"/>
        <v>521.07</v>
      </c>
      <c r="K97" s="96">
        <f t="shared" si="25"/>
        <v>73</v>
      </c>
      <c r="L97" s="97">
        <f t="shared" si="25"/>
        <v>3420000</v>
      </c>
      <c r="M97" s="97">
        <f t="shared" si="25"/>
        <v>0</v>
      </c>
      <c r="N97" s="97">
        <f t="shared" si="25"/>
        <v>0</v>
      </c>
      <c r="O97" s="97">
        <f t="shared" si="25"/>
        <v>0</v>
      </c>
      <c r="P97" s="97">
        <f t="shared" si="25"/>
        <v>3420000</v>
      </c>
      <c r="Q97" s="97">
        <f>L97/H97</f>
        <v>1601.281024819856</v>
      </c>
      <c r="R97" s="56" t="s">
        <v>430</v>
      </c>
      <c r="S97" s="56" t="s">
        <v>430</v>
      </c>
      <c r="T97" s="56" t="s">
        <v>430</v>
      </c>
      <c r="U97" s="190"/>
      <c r="X97" s="190"/>
    </row>
    <row r="98" spans="1:24" s="186" customFormat="1" ht="15" customHeight="1">
      <c r="A98" s="123" t="s">
        <v>815</v>
      </c>
      <c r="B98" s="123"/>
      <c r="C98" s="123"/>
      <c r="D98" s="123"/>
      <c r="E98" s="123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X98" s="190"/>
    </row>
    <row r="99" spans="1:24" s="186" customFormat="1" ht="15">
      <c r="A99" s="197">
        <f>A96+1</f>
        <v>52</v>
      </c>
      <c r="B99" s="13" t="s">
        <v>184</v>
      </c>
      <c r="C99" s="92">
        <v>1985</v>
      </c>
      <c r="D99" s="95"/>
      <c r="E99" s="86" t="s">
        <v>94</v>
      </c>
      <c r="F99" s="95">
        <v>5</v>
      </c>
      <c r="G99" s="95">
        <v>2</v>
      </c>
      <c r="H99" s="97">
        <v>4221.3</v>
      </c>
      <c r="I99" s="97">
        <v>4221.3</v>
      </c>
      <c r="J99" s="97">
        <v>2385.2</v>
      </c>
      <c r="K99" s="96">
        <v>213</v>
      </c>
      <c r="L99" s="97">
        <f>'виды работ  (2)'!C98</f>
        <v>209679</v>
      </c>
      <c r="M99" s="97">
        <v>0</v>
      </c>
      <c r="N99" s="97">
        <v>0</v>
      </c>
      <c r="O99" s="97">
        <v>0</v>
      </c>
      <c r="P99" s="97">
        <f aca="true" t="shared" si="26" ref="P99:P162">L99</f>
        <v>209679</v>
      </c>
      <c r="Q99" s="97">
        <f aca="true" t="shared" si="27" ref="Q99:Q162">L99/H99</f>
        <v>49.67166512685665</v>
      </c>
      <c r="R99" s="97">
        <v>42000</v>
      </c>
      <c r="S99" s="55" t="s">
        <v>843</v>
      </c>
      <c r="T99" s="92" t="s">
        <v>773</v>
      </c>
      <c r="X99" s="190"/>
    </row>
    <row r="100" spans="1:24" s="186" customFormat="1" ht="15">
      <c r="A100" s="197">
        <f>A99+1</f>
        <v>53</v>
      </c>
      <c r="B100" s="58" t="s">
        <v>116</v>
      </c>
      <c r="C100" s="92">
        <v>1966</v>
      </c>
      <c r="D100" s="95"/>
      <c r="E100" s="86" t="s">
        <v>94</v>
      </c>
      <c r="F100" s="95">
        <v>2</v>
      </c>
      <c r="G100" s="95">
        <v>2</v>
      </c>
      <c r="H100" s="97">
        <v>472.3</v>
      </c>
      <c r="I100" s="97">
        <v>472.3</v>
      </c>
      <c r="J100" s="97">
        <v>281.9</v>
      </c>
      <c r="K100" s="96">
        <v>18</v>
      </c>
      <c r="L100" s="97">
        <f>'виды работ  (2)'!C99</f>
        <v>78270</v>
      </c>
      <c r="M100" s="97">
        <v>0</v>
      </c>
      <c r="N100" s="97">
        <v>0</v>
      </c>
      <c r="O100" s="97">
        <v>0</v>
      </c>
      <c r="P100" s="97">
        <f t="shared" si="26"/>
        <v>78270</v>
      </c>
      <c r="Q100" s="97">
        <f t="shared" si="27"/>
        <v>165.72094008045732</v>
      </c>
      <c r="R100" s="97">
        <v>42000</v>
      </c>
      <c r="S100" s="55" t="s">
        <v>843</v>
      </c>
      <c r="T100" s="92" t="s">
        <v>773</v>
      </c>
      <c r="X100" s="190"/>
    </row>
    <row r="101" spans="1:24" s="186" customFormat="1" ht="15">
      <c r="A101" s="197">
        <f aca="true" t="shared" si="28" ref="A101:A160">A100+1</f>
        <v>54</v>
      </c>
      <c r="B101" s="13" t="s">
        <v>117</v>
      </c>
      <c r="C101" s="77">
        <v>1969</v>
      </c>
      <c r="D101" s="77"/>
      <c r="E101" s="86" t="s">
        <v>94</v>
      </c>
      <c r="F101" s="77">
        <v>2</v>
      </c>
      <c r="G101" s="77">
        <v>2</v>
      </c>
      <c r="H101" s="71">
        <v>528.7</v>
      </c>
      <c r="I101" s="71">
        <v>528.7</v>
      </c>
      <c r="J101" s="71">
        <v>308</v>
      </c>
      <c r="K101" s="197">
        <v>26</v>
      </c>
      <c r="L101" s="97">
        <f>'виды работ  (2)'!C100</f>
        <v>79817</v>
      </c>
      <c r="M101" s="97">
        <v>0</v>
      </c>
      <c r="N101" s="97">
        <v>0</v>
      </c>
      <c r="O101" s="97">
        <v>0</v>
      </c>
      <c r="P101" s="97">
        <f t="shared" si="26"/>
        <v>79817</v>
      </c>
      <c r="Q101" s="97">
        <f t="shared" si="27"/>
        <v>150.96841308870813</v>
      </c>
      <c r="R101" s="97">
        <v>42000</v>
      </c>
      <c r="S101" s="55" t="s">
        <v>843</v>
      </c>
      <c r="T101" s="92" t="s">
        <v>773</v>
      </c>
      <c r="X101" s="190"/>
    </row>
    <row r="102" spans="1:24" s="186" customFormat="1" ht="15">
      <c r="A102" s="197">
        <f t="shared" si="28"/>
        <v>55</v>
      </c>
      <c r="B102" s="48" t="s">
        <v>812</v>
      </c>
      <c r="C102" s="77">
        <v>1971</v>
      </c>
      <c r="D102" s="77"/>
      <c r="E102" s="86" t="s">
        <v>94</v>
      </c>
      <c r="F102" s="77">
        <v>2</v>
      </c>
      <c r="G102" s="77">
        <v>2</v>
      </c>
      <c r="H102" s="71">
        <v>527.1</v>
      </c>
      <c r="I102" s="71">
        <v>527.1</v>
      </c>
      <c r="J102" s="71">
        <v>302</v>
      </c>
      <c r="K102" s="197">
        <v>24</v>
      </c>
      <c r="L102" s="97">
        <f>'виды работ  (2)'!C101</f>
        <v>78299</v>
      </c>
      <c r="M102" s="97">
        <v>0</v>
      </c>
      <c r="N102" s="97">
        <v>0</v>
      </c>
      <c r="O102" s="97">
        <v>0</v>
      </c>
      <c r="P102" s="97">
        <f>L102</f>
        <v>78299</v>
      </c>
      <c r="Q102" s="97">
        <f>L102/H102</f>
        <v>148.54676531967368</v>
      </c>
      <c r="R102" s="97">
        <v>42000</v>
      </c>
      <c r="S102" s="55" t="s">
        <v>843</v>
      </c>
      <c r="T102" s="92" t="s">
        <v>773</v>
      </c>
      <c r="X102" s="190"/>
    </row>
    <row r="103" spans="1:24" s="186" customFormat="1" ht="15">
      <c r="A103" s="197">
        <f t="shared" si="28"/>
        <v>56</v>
      </c>
      <c r="B103" s="13" t="s">
        <v>118</v>
      </c>
      <c r="C103" s="92">
        <v>1964</v>
      </c>
      <c r="D103" s="95"/>
      <c r="E103" s="86" t="s">
        <v>94</v>
      </c>
      <c r="F103" s="95">
        <v>2</v>
      </c>
      <c r="G103" s="95">
        <v>2</v>
      </c>
      <c r="H103" s="97">
        <v>497.32</v>
      </c>
      <c r="I103" s="97">
        <v>497.32</v>
      </c>
      <c r="J103" s="97">
        <v>298.76</v>
      </c>
      <c r="K103" s="96">
        <v>22</v>
      </c>
      <c r="L103" s="97">
        <f>'виды работ  (2)'!C102</f>
        <v>80051</v>
      </c>
      <c r="M103" s="97">
        <v>0</v>
      </c>
      <c r="N103" s="97">
        <v>0</v>
      </c>
      <c r="O103" s="97">
        <v>0</v>
      </c>
      <c r="P103" s="97">
        <f t="shared" si="26"/>
        <v>80051</v>
      </c>
      <c r="Q103" s="97">
        <f t="shared" si="27"/>
        <v>160.9647711734899</v>
      </c>
      <c r="R103" s="97">
        <v>42000</v>
      </c>
      <c r="S103" s="55" t="s">
        <v>843</v>
      </c>
      <c r="T103" s="92" t="s">
        <v>773</v>
      </c>
      <c r="X103" s="190"/>
    </row>
    <row r="104" spans="1:24" s="186" customFormat="1" ht="15">
      <c r="A104" s="197">
        <f t="shared" si="28"/>
        <v>57</v>
      </c>
      <c r="B104" s="13" t="s">
        <v>119</v>
      </c>
      <c r="C104" s="92">
        <v>1964</v>
      </c>
      <c r="D104" s="95"/>
      <c r="E104" s="86" t="s">
        <v>94</v>
      </c>
      <c r="F104" s="95">
        <v>2</v>
      </c>
      <c r="G104" s="95">
        <v>2</v>
      </c>
      <c r="H104" s="97">
        <v>481.81</v>
      </c>
      <c r="I104" s="97">
        <v>481.81</v>
      </c>
      <c r="J104" s="97">
        <v>286.89</v>
      </c>
      <c r="K104" s="96">
        <v>31</v>
      </c>
      <c r="L104" s="97">
        <f>'виды работ  (2)'!C103</f>
        <v>80051</v>
      </c>
      <c r="M104" s="97">
        <v>0</v>
      </c>
      <c r="N104" s="97">
        <v>0</v>
      </c>
      <c r="O104" s="97">
        <v>0</v>
      </c>
      <c r="P104" s="97">
        <f t="shared" si="26"/>
        <v>80051</v>
      </c>
      <c r="Q104" s="97">
        <f t="shared" si="27"/>
        <v>166.14640625972893</v>
      </c>
      <c r="R104" s="97">
        <v>42000</v>
      </c>
      <c r="S104" s="55" t="s">
        <v>843</v>
      </c>
      <c r="T104" s="92" t="s">
        <v>773</v>
      </c>
      <c r="X104" s="190"/>
    </row>
    <row r="105" spans="1:24" s="186" customFormat="1" ht="15">
      <c r="A105" s="197">
        <f t="shared" si="28"/>
        <v>58</v>
      </c>
      <c r="B105" s="13" t="s">
        <v>120</v>
      </c>
      <c r="C105" s="92">
        <v>1963</v>
      </c>
      <c r="D105" s="95"/>
      <c r="E105" s="86" t="s">
        <v>94</v>
      </c>
      <c r="F105" s="95">
        <v>2</v>
      </c>
      <c r="G105" s="95">
        <v>2</v>
      </c>
      <c r="H105" s="97">
        <v>463.5</v>
      </c>
      <c r="I105" s="97">
        <v>463.5</v>
      </c>
      <c r="J105" s="97">
        <v>283.91</v>
      </c>
      <c r="K105" s="96">
        <v>22</v>
      </c>
      <c r="L105" s="97">
        <f>'виды работ  (2)'!C104</f>
        <v>78299</v>
      </c>
      <c r="M105" s="97">
        <v>0</v>
      </c>
      <c r="N105" s="97">
        <v>0</v>
      </c>
      <c r="O105" s="97">
        <v>0</v>
      </c>
      <c r="P105" s="97">
        <f t="shared" si="26"/>
        <v>78299</v>
      </c>
      <c r="Q105" s="97">
        <f t="shared" si="27"/>
        <v>168.92988133764834</v>
      </c>
      <c r="R105" s="97">
        <v>42000</v>
      </c>
      <c r="S105" s="55" t="s">
        <v>843</v>
      </c>
      <c r="T105" s="92" t="s">
        <v>773</v>
      </c>
      <c r="X105" s="190"/>
    </row>
    <row r="106" spans="1:24" s="186" customFormat="1" ht="15">
      <c r="A106" s="197">
        <f t="shared" si="28"/>
        <v>59</v>
      </c>
      <c r="B106" s="13" t="s">
        <v>151</v>
      </c>
      <c r="C106" s="92">
        <v>1917</v>
      </c>
      <c r="D106" s="95">
        <v>1961</v>
      </c>
      <c r="E106" s="92" t="s">
        <v>465</v>
      </c>
      <c r="F106" s="95">
        <v>1</v>
      </c>
      <c r="G106" s="95">
        <v>2</v>
      </c>
      <c r="H106" s="97">
        <v>143.21</v>
      </c>
      <c r="I106" s="97">
        <v>143.21</v>
      </c>
      <c r="J106" s="97">
        <v>98.35</v>
      </c>
      <c r="K106" s="96">
        <v>8</v>
      </c>
      <c r="L106" s="97">
        <f>'виды работ  (2)'!C105</f>
        <v>203150</v>
      </c>
      <c r="M106" s="97">
        <v>0</v>
      </c>
      <c r="N106" s="97">
        <v>0</v>
      </c>
      <c r="O106" s="97">
        <v>0</v>
      </c>
      <c r="P106" s="97">
        <f t="shared" si="26"/>
        <v>203150</v>
      </c>
      <c r="Q106" s="97">
        <f t="shared" si="27"/>
        <v>1418.546190908456</v>
      </c>
      <c r="R106" s="97">
        <v>42000</v>
      </c>
      <c r="S106" s="55" t="s">
        <v>843</v>
      </c>
      <c r="T106" s="92" t="s">
        <v>773</v>
      </c>
      <c r="X106" s="190"/>
    </row>
    <row r="107" spans="1:24" s="186" customFormat="1" ht="15">
      <c r="A107" s="197">
        <f t="shared" si="28"/>
        <v>60</v>
      </c>
      <c r="B107" s="13" t="s">
        <v>152</v>
      </c>
      <c r="C107" s="92">
        <v>1917</v>
      </c>
      <c r="D107" s="95">
        <v>1972</v>
      </c>
      <c r="E107" s="92" t="s">
        <v>465</v>
      </c>
      <c r="F107" s="95">
        <v>2</v>
      </c>
      <c r="G107" s="95">
        <v>1</v>
      </c>
      <c r="H107" s="97">
        <v>301.64</v>
      </c>
      <c r="I107" s="97">
        <v>301.64</v>
      </c>
      <c r="J107" s="97">
        <v>183.93</v>
      </c>
      <c r="K107" s="96">
        <v>11</v>
      </c>
      <c r="L107" s="97">
        <f>'виды работ  (2)'!C106</f>
        <v>144980</v>
      </c>
      <c r="M107" s="97">
        <v>0</v>
      </c>
      <c r="N107" s="97">
        <v>0</v>
      </c>
      <c r="O107" s="97">
        <v>0</v>
      </c>
      <c r="P107" s="97">
        <f t="shared" si="26"/>
        <v>144980</v>
      </c>
      <c r="Q107" s="97">
        <f t="shared" si="27"/>
        <v>480.63917252353804</v>
      </c>
      <c r="R107" s="97">
        <v>42000</v>
      </c>
      <c r="S107" s="55" t="s">
        <v>843</v>
      </c>
      <c r="T107" s="92" t="s">
        <v>773</v>
      </c>
      <c r="X107" s="190"/>
    </row>
    <row r="108" spans="1:24" s="186" customFormat="1" ht="15">
      <c r="A108" s="197">
        <f t="shared" si="28"/>
        <v>61</v>
      </c>
      <c r="B108" s="13" t="s">
        <v>121</v>
      </c>
      <c r="C108" s="92">
        <v>1958</v>
      </c>
      <c r="D108" s="95">
        <v>1977</v>
      </c>
      <c r="E108" s="92" t="s">
        <v>465</v>
      </c>
      <c r="F108" s="95">
        <v>1</v>
      </c>
      <c r="G108" s="95">
        <v>1</v>
      </c>
      <c r="H108" s="97">
        <v>184.5</v>
      </c>
      <c r="I108" s="97">
        <v>184.5</v>
      </c>
      <c r="J108" s="97">
        <v>114.79</v>
      </c>
      <c r="K108" s="96">
        <v>7</v>
      </c>
      <c r="L108" s="97">
        <f>'виды работ  (2)'!C107</f>
        <v>55208</v>
      </c>
      <c r="M108" s="97">
        <v>0</v>
      </c>
      <c r="N108" s="97">
        <v>0</v>
      </c>
      <c r="O108" s="97">
        <v>0</v>
      </c>
      <c r="P108" s="97">
        <f t="shared" si="26"/>
        <v>55208</v>
      </c>
      <c r="Q108" s="97">
        <f t="shared" si="27"/>
        <v>299.23035230352303</v>
      </c>
      <c r="R108" s="97">
        <v>42000</v>
      </c>
      <c r="S108" s="55" t="s">
        <v>843</v>
      </c>
      <c r="T108" s="92" t="s">
        <v>773</v>
      </c>
      <c r="X108" s="190"/>
    </row>
    <row r="109" spans="1:24" s="186" customFormat="1" ht="15">
      <c r="A109" s="197">
        <f t="shared" si="28"/>
        <v>62</v>
      </c>
      <c r="B109" s="13" t="s">
        <v>185</v>
      </c>
      <c r="C109" s="92">
        <v>1965</v>
      </c>
      <c r="D109" s="95"/>
      <c r="E109" s="86" t="s">
        <v>94</v>
      </c>
      <c r="F109" s="95">
        <v>2</v>
      </c>
      <c r="G109" s="95">
        <v>2</v>
      </c>
      <c r="H109" s="97">
        <v>664.025</v>
      </c>
      <c r="I109" s="97">
        <v>664.02</v>
      </c>
      <c r="J109" s="97">
        <v>414.31</v>
      </c>
      <c r="K109" s="96">
        <v>32</v>
      </c>
      <c r="L109" s="97">
        <f>'виды работ  (2)'!C108</f>
        <v>99295</v>
      </c>
      <c r="M109" s="97">
        <v>0</v>
      </c>
      <c r="N109" s="97">
        <v>0</v>
      </c>
      <c r="O109" s="97">
        <v>0</v>
      </c>
      <c r="P109" s="97">
        <f t="shared" si="26"/>
        <v>99295</v>
      </c>
      <c r="Q109" s="97">
        <f t="shared" si="27"/>
        <v>149.53503256654494</v>
      </c>
      <c r="R109" s="97">
        <v>42000</v>
      </c>
      <c r="S109" s="55" t="s">
        <v>843</v>
      </c>
      <c r="T109" s="92" t="s">
        <v>773</v>
      </c>
      <c r="X109" s="190"/>
    </row>
    <row r="110" spans="1:24" s="186" customFormat="1" ht="15">
      <c r="A110" s="197">
        <f t="shared" si="28"/>
        <v>63</v>
      </c>
      <c r="B110" s="13" t="s">
        <v>122</v>
      </c>
      <c r="C110" s="92">
        <v>1968</v>
      </c>
      <c r="D110" s="95"/>
      <c r="E110" s="92" t="s">
        <v>465</v>
      </c>
      <c r="F110" s="95">
        <v>1</v>
      </c>
      <c r="G110" s="95">
        <v>3</v>
      </c>
      <c r="H110" s="97">
        <v>159.12</v>
      </c>
      <c r="I110" s="97">
        <v>159.12</v>
      </c>
      <c r="J110" s="97">
        <v>104.33</v>
      </c>
      <c r="K110" s="96">
        <v>13</v>
      </c>
      <c r="L110" s="97">
        <f>'виды работ  (2)'!C109</f>
        <v>48241</v>
      </c>
      <c r="M110" s="97">
        <v>0</v>
      </c>
      <c r="N110" s="97">
        <v>0</v>
      </c>
      <c r="O110" s="97">
        <v>0</v>
      </c>
      <c r="P110" s="97">
        <f t="shared" si="26"/>
        <v>48241</v>
      </c>
      <c r="Q110" s="97">
        <f t="shared" si="27"/>
        <v>303.1737053795877</v>
      </c>
      <c r="R110" s="97">
        <v>42000</v>
      </c>
      <c r="S110" s="55" t="s">
        <v>843</v>
      </c>
      <c r="T110" s="92" t="s">
        <v>773</v>
      </c>
      <c r="X110" s="190"/>
    </row>
    <row r="111" spans="1:24" s="186" customFormat="1" ht="15">
      <c r="A111" s="197">
        <f t="shared" si="28"/>
        <v>64</v>
      </c>
      <c r="B111" s="13" t="s">
        <v>123</v>
      </c>
      <c r="C111" s="92">
        <v>1955</v>
      </c>
      <c r="D111" s="95">
        <v>1970</v>
      </c>
      <c r="E111" s="92" t="s">
        <v>465</v>
      </c>
      <c r="F111" s="95">
        <v>2</v>
      </c>
      <c r="G111" s="95">
        <v>1</v>
      </c>
      <c r="H111" s="97">
        <v>214.82</v>
      </c>
      <c r="I111" s="97">
        <v>214.82</v>
      </c>
      <c r="J111" s="97">
        <v>164.96</v>
      </c>
      <c r="K111" s="96">
        <v>10</v>
      </c>
      <c r="L111" s="97">
        <f>'виды работ  (2)'!C110</f>
        <v>70126</v>
      </c>
      <c r="M111" s="97">
        <v>0</v>
      </c>
      <c r="N111" s="97">
        <v>0</v>
      </c>
      <c r="O111" s="97">
        <v>0</v>
      </c>
      <c r="P111" s="97">
        <f t="shared" si="26"/>
        <v>70126</v>
      </c>
      <c r="Q111" s="97">
        <f t="shared" si="27"/>
        <v>326.44074108556003</v>
      </c>
      <c r="R111" s="97">
        <v>42000</v>
      </c>
      <c r="S111" s="55" t="s">
        <v>843</v>
      </c>
      <c r="T111" s="92" t="s">
        <v>773</v>
      </c>
      <c r="X111" s="190"/>
    </row>
    <row r="112" spans="1:24" s="186" customFormat="1" ht="15">
      <c r="A112" s="197">
        <f t="shared" si="28"/>
        <v>65</v>
      </c>
      <c r="B112" s="13" t="s">
        <v>124</v>
      </c>
      <c r="C112" s="92">
        <v>1954</v>
      </c>
      <c r="D112" s="95">
        <v>1989</v>
      </c>
      <c r="E112" s="92" t="s">
        <v>465</v>
      </c>
      <c r="F112" s="95">
        <v>2</v>
      </c>
      <c r="G112" s="95">
        <v>3</v>
      </c>
      <c r="H112" s="97">
        <v>789.3</v>
      </c>
      <c r="I112" s="97">
        <v>789.3</v>
      </c>
      <c r="J112" s="97">
        <v>480</v>
      </c>
      <c r="K112" s="96">
        <v>40</v>
      </c>
      <c r="L112" s="97">
        <f>'виды работ  (2)'!C111</f>
        <v>234185</v>
      </c>
      <c r="M112" s="97">
        <v>0</v>
      </c>
      <c r="N112" s="97">
        <v>0</v>
      </c>
      <c r="O112" s="97">
        <v>0</v>
      </c>
      <c r="P112" s="97">
        <f t="shared" si="26"/>
        <v>234185</v>
      </c>
      <c r="Q112" s="97">
        <f t="shared" si="27"/>
        <v>296.69960724692766</v>
      </c>
      <c r="R112" s="97">
        <v>42000</v>
      </c>
      <c r="S112" s="55" t="s">
        <v>843</v>
      </c>
      <c r="T112" s="92" t="s">
        <v>773</v>
      </c>
      <c r="X112" s="190"/>
    </row>
    <row r="113" spans="1:24" s="186" customFormat="1" ht="15">
      <c r="A113" s="197">
        <f t="shared" si="28"/>
        <v>66</v>
      </c>
      <c r="B113" s="13" t="s">
        <v>125</v>
      </c>
      <c r="C113" s="92">
        <v>1917</v>
      </c>
      <c r="D113" s="95">
        <v>1982</v>
      </c>
      <c r="E113" s="86" t="s">
        <v>94</v>
      </c>
      <c r="F113" s="95">
        <v>2</v>
      </c>
      <c r="G113" s="95">
        <v>2</v>
      </c>
      <c r="H113" s="97">
        <v>162.71</v>
      </c>
      <c r="I113" s="97">
        <v>162.71</v>
      </c>
      <c r="J113" s="97">
        <v>107.42</v>
      </c>
      <c r="K113" s="96">
        <v>6</v>
      </c>
      <c r="L113" s="97">
        <f>'виды работ  (2)'!C112</f>
        <v>255185</v>
      </c>
      <c r="M113" s="97">
        <v>0</v>
      </c>
      <c r="N113" s="97">
        <v>0</v>
      </c>
      <c r="O113" s="97">
        <v>0</v>
      </c>
      <c r="P113" s="97">
        <f t="shared" si="26"/>
        <v>255185</v>
      </c>
      <c r="Q113" s="97">
        <f t="shared" si="27"/>
        <v>1568.3424497572366</v>
      </c>
      <c r="R113" s="97">
        <v>42000</v>
      </c>
      <c r="S113" s="55" t="s">
        <v>843</v>
      </c>
      <c r="T113" s="92" t="s">
        <v>773</v>
      </c>
      <c r="X113" s="190"/>
    </row>
    <row r="114" spans="1:24" s="186" customFormat="1" ht="15">
      <c r="A114" s="197">
        <f t="shared" si="28"/>
        <v>67</v>
      </c>
      <c r="B114" s="13" t="s">
        <v>126</v>
      </c>
      <c r="C114" s="92">
        <v>1917</v>
      </c>
      <c r="D114" s="95"/>
      <c r="E114" s="86" t="s">
        <v>94</v>
      </c>
      <c r="F114" s="95">
        <v>2</v>
      </c>
      <c r="G114" s="95">
        <v>2</v>
      </c>
      <c r="H114" s="97">
        <v>235.23</v>
      </c>
      <c r="I114" s="97">
        <v>235.23</v>
      </c>
      <c r="J114" s="97">
        <v>157.72</v>
      </c>
      <c r="K114" s="197">
        <v>8</v>
      </c>
      <c r="L114" s="97">
        <f>'виды работ  (2)'!C113</f>
        <v>191323</v>
      </c>
      <c r="M114" s="97">
        <v>0</v>
      </c>
      <c r="N114" s="97">
        <v>0</v>
      </c>
      <c r="O114" s="97">
        <v>0</v>
      </c>
      <c r="P114" s="97">
        <f t="shared" si="26"/>
        <v>191323</v>
      </c>
      <c r="Q114" s="97">
        <f t="shared" si="27"/>
        <v>813.3443863452791</v>
      </c>
      <c r="R114" s="97">
        <v>42000</v>
      </c>
      <c r="S114" s="55" t="s">
        <v>843</v>
      </c>
      <c r="T114" s="92" t="s">
        <v>773</v>
      </c>
      <c r="X114" s="190"/>
    </row>
    <row r="115" spans="1:24" s="186" customFormat="1" ht="15">
      <c r="A115" s="197">
        <f t="shared" si="28"/>
        <v>68</v>
      </c>
      <c r="B115" s="13" t="s">
        <v>127</v>
      </c>
      <c r="C115" s="92">
        <v>1948</v>
      </c>
      <c r="D115" s="95"/>
      <c r="E115" s="92" t="s">
        <v>465</v>
      </c>
      <c r="F115" s="95">
        <v>2</v>
      </c>
      <c r="G115" s="95">
        <v>2</v>
      </c>
      <c r="H115" s="97">
        <v>261.2</v>
      </c>
      <c r="I115" s="97">
        <v>261.2</v>
      </c>
      <c r="J115" s="97">
        <v>185.5</v>
      </c>
      <c r="K115" s="197">
        <v>9</v>
      </c>
      <c r="L115" s="97">
        <f>'виды работ  (2)'!C114</f>
        <v>152175</v>
      </c>
      <c r="M115" s="97">
        <v>0</v>
      </c>
      <c r="N115" s="97">
        <v>0</v>
      </c>
      <c r="O115" s="97">
        <v>0</v>
      </c>
      <c r="P115" s="97">
        <f t="shared" si="26"/>
        <v>152175</v>
      </c>
      <c r="Q115" s="97">
        <f t="shared" si="27"/>
        <v>582.5995405819295</v>
      </c>
      <c r="R115" s="97">
        <v>42000</v>
      </c>
      <c r="S115" s="55" t="s">
        <v>843</v>
      </c>
      <c r="T115" s="92" t="s">
        <v>773</v>
      </c>
      <c r="X115" s="190"/>
    </row>
    <row r="116" spans="1:24" s="186" customFormat="1" ht="15">
      <c r="A116" s="197">
        <f t="shared" si="28"/>
        <v>69</v>
      </c>
      <c r="B116" s="13" t="s">
        <v>128</v>
      </c>
      <c r="C116" s="92">
        <v>1949</v>
      </c>
      <c r="D116" s="95">
        <v>1964</v>
      </c>
      <c r="E116" s="92" t="s">
        <v>465</v>
      </c>
      <c r="F116" s="95">
        <v>2</v>
      </c>
      <c r="G116" s="95">
        <v>1</v>
      </c>
      <c r="H116" s="97">
        <v>86.17</v>
      </c>
      <c r="I116" s="97">
        <v>86.17</v>
      </c>
      <c r="J116" s="97">
        <v>55.95</v>
      </c>
      <c r="K116" s="96">
        <v>4</v>
      </c>
      <c r="L116" s="97">
        <f>'виды работ  (2)'!C115</f>
        <v>80672</v>
      </c>
      <c r="M116" s="97">
        <v>0</v>
      </c>
      <c r="N116" s="97">
        <v>0</v>
      </c>
      <c r="O116" s="97">
        <v>0</v>
      </c>
      <c r="P116" s="97">
        <f t="shared" si="26"/>
        <v>80672</v>
      </c>
      <c r="Q116" s="97">
        <f t="shared" si="27"/>
        <v>936.1958918417082</v>
      </c>
      <c r="R116" s="97">
        <v>42000</v>
      </c>
      <c r="S116" s="55" t="s">
        <v>843</v>
      </c>
      <c r="T116" s="92" t="s">
        <v>773</v>
      </c>
      <c r="X116" s="190"/>
    </row>
    <row r="117" spans="1:24" s="186" customFormat="1" ht="15">
      <c r="A117" s="197">
        <f t="shared" si="28"/>
        <v>70</v>
      </c>
      <c r="B117" s="13" t="s">
        <v>129</v>
      </c>
      <c r="C117" s="92">
        <v>1917</v>
      </c>
      <c r="D117" s="95">
        <v>1964</v>
      </c>
      <c r="E117" s="92" t="s">
        <v>465</v>
      </c>
      <c r="F117" s="95">
        <v>2</v>
      </c>
      <c r="G117" s="95">
        <v>2</v>
      </c>
      <c r="H117" s="97">
        <v>110.6</v>
      </c>
      <c r="I117" s="97">
        <v>110.6</v>
      </c>
      <c r="J117" s="97">
        <v>88.67</v>
      </c>
      <c r="K117" s="96">
        <v>6</v>
      </c>
      <c r="L117" s="97">
        <f>'виды работ  (2)'!C116</f>
        <v>180350</v>
      </c>
      <c r="M117" s="97">
        <v>0</v>
      </c>
      <c r="N117" s="97">
        <v>0</v>
      </c>
      <c r="O117" s="97">
        <v>0</v>
      </c>
      <c r="P117" s="97">
        <f t="shared" si="26"/>
        <v>180350</v>
      </c>
      <c r="Q117" s="97">
        <f t="shared" si="27"/>
        <v>1630.6509945750454</v>
      </c>
      <c r="R117" s="97">
        <v>42000</v>
      </c>
      <c r="S117" s="55" t="s">
        <v>843</v>
      </c>
      <c r="T117" s="92" t="s">
        <v>773</v>
      </c>
      <c r="X117" s="190"/>
    </row>
    <row r="118" spans="1:24" s="186" customFormat="1" ht="15">
      <c r="A118" s="197">
        <f t="shared" si="28"/>
        <v>71</v>
      </c>
      <c r="B118" s="13" t="s">
        <v>130</v>
      </c>
      <c r="C118" s="77">
        <v>1964</v>
      </c>
      <c r="D118" s="77"/>
      <c r="E118" s="86" t="s">
        <v>94</v>
      </c>
      <c r="F118" s="77">
        <v>2</v>
      </c>
      <c r="G118" s="77">
        <v>2</v>
      </c>
      <c r="H118" s="71">
        <v>493.33</v>
      </c>
      <c r="I118" s="71">
        <v>493.33</v>
      </c>
      <c r="J118" s="71">
        <v>295.77</v>
      </c>
      <c r="K118" s="197">
        <v>11</v>
      </c>
      <c r="L118" s="97">
        <f>'виды работ  (2)'!C117</f>
        <v>102424</v>
      </c>
      <c r="M118" s="97">
        <v>0</v>
      </c>
      <c r="N118" s="97">
        <v>0</v>
      </c>
      <c r="O118" s="97">
        <v>0</v>
      </c>
      <c r="P118" s="97">
        <f t="shared" si="26"/>
        <v>102424</v>
      </c>
      <c r="Q118" s="97">
        <f t="shared" si="27"/>
        <v>207.61761903796648</v>
      </c>
      <c r="R118" s="97">
        <v>42000</v>
      </c>
      <c r="S118" s="55" t="s">
        <v>843</v>
      </c>
      <c r="T118" s="92" t="s">
        <v>773</v>
      </c>
      <c r="X118" s="190"/>
    </row>
    <row r="119" spans="1:24" s="186" customFormat="1" ht="15">
      <c r="A119" s="197">
        <f t="shared" si="28"/>
        <v>72</v>
      </c>
      <c r="B119" s="13" t="s">
        <v>131</v>
      </c>
      <c r="C119" s="92">
        <v>1949</v>
      </c>
      <c r="D119" s="95"/>
      <c r="E119" s="92" t="s">
        <v>465</v>
      </c>
      <c r="F119" s="95">
        <v>2</v>
      </c>
      <c r="G119" s="95">
        <v>1</v>
      </c>
      <c r="H119" s="97">
        <v>211.3</v>
      </c>
      <c r="I119" s="97">
        <v>211.3</v>
      </c>
      <c r="J119" s="97">
        <v>134.77</v>
      </c>
      <c r="K119" s="96">
        <v>12</v>
      </c>
      <c r="L119" s="97">
        <f>'виды работ  (2)'!C118</f>
        <v>213016</v>
      </c>
      <c r="M119" s="97">
        <v>0</v>
      </c>
      <c r="N119" s="97">
        <v>0</v>
      </c>
      <c r="O119" s="97">
        <v>0</v>
      </c>
      <c r="P119" s="97">
        <f t="shared" si="26"/>
        <v>213016</v>
      </c>
      <c r="Q119" s="97">
        <f t="shared" si="27"/>
        <v>1008.1211547562707</v>
      </c>
      <c r="R119" s="97">
        <v>42000</v>
      </c>
      <c r="S119" s="55" t="s">
        <v>843</v>
      </c>
      <c r="T119" s="92" t="s">
        <v>773</v>
      </c>
      <c r="X119" s="190"/>
    </row>
    <row r="120" spans="1:24" s="186" customFormat="1" ht="15">
      <c r="A120" s="197">
        <f t="shared" si="28"/>
        <v>73</v>
      </c>
      <c r="B120" s="13" t="s">
        <v>132</v>
      </c>
      <c r="C120" s="92">
        <v>1962</v>
      </c>
      <c r="D120" s="95"/>
      <c r="E120" s="92" t="s">
        <v>465</v>
      </c>
      <c r="F120" s="95">
        <v>2</v>
      </c>
      <c r="G120" s="95">
        <v>1</v>
      </c>
      <c r="H120" s="97">
        <v>341.4</v>
      </c>
      <c r="I120" s="97">
        <v>341.4</v>
      </c>
      <c r="J120" s="97">
        <v>223.9</v>
      </c>
      <c r="K120" s="96">
        <v>12</v>
      </c>
      <c r="L120" s="97">
        <f>'виды работ  (2)'!C119</f>
        <v>75088</v>
      </c>
      <c r="M120" s="97">
        <v>0</v>
      </c>
      <c r="N120" s="97">
        <v>0</v>
      </c>
      <c r="O120" s="97">
        <v>0</v>
      </c>
      <c r="P120" s="97">
        <f t="shared" si="26"/>
        <v>75088</v>
      </c>
      <c r="Q120" s="97">
        <f t="shared" si="27"/>
        <v>219.94141769185708</v>
      </c>
      <c r="R120" s="97">
        <v>42000</v>
      </c>
      <c r="S120" s="55" t="s">
        <v>843</v>
      </c>
      <c r="T120" s="92" t="s">
        <v>773</v>
      </c>
      <c r="X120" s="190"/>
    </row>
    <row r="121" spans="1:24" s="186" customFormat="1" ht="15">
      <c r="A121" s="197">
        <f t="shared" si="28"/>
        <v>74</v>
      </c>
      <c r="B121" s="13" t="s">
        <v>133</v>
      </c>
      <c r="C121" s="92">
        <v>1917</v>
      </c>
      <c r="D121" s="95">
        <v>1963</v>
      </c>
      <c r="E121" s="92" t="s">
        <v>465</v>
      </c>
      <c r="F121" s="95">
        <v>2</v>
      </c>
      <c r="G121" s="95">
        <v>2</v>
      </c>
      <c r="H121" s="97">
        <v>218.32</v>
      </c>
      <c r="I121" s="97">
        <v>218.32</v>
      </c>
      <c r="J121" s="97">
        <v>142.78</v>
      </c>
      <c r="K121" s="96">
        <v>17</v>
      </c>
      <c r="L121" s="97">
        <f>'виды работ  (2)'!C120</f>
        <v>200872</v>
      </c>
      <c r="M121" s="97">
        <v>0</v>
      </c>
      <c r="N121" s="97">
        <v>0</v>
      </c>
      <c r="O121" s="97">
        <v>0</v>
      </c>
      <c r="P121" s="97">
        <f t="shared" si="26"/>
        <v>200872</v>
      </c>
      <c r="Q121" s="97">
        <f t="shared" si="27"/>
        <v>920.0806156101136</v>
      </c>
      <c r="R121" s="97">
        <v>42000</v>
      </c>
      <c r="S121" s="55" t="s">
        <v>843</v>
      </c>
      <c r="T121" s="92" t="s">
        <v>773</v>
      </c>
      <c r="X121" s="190"/>
    </row>
    <row r="122" spans="1:24" s="186" customFormat="1" ht="15">
      <c r="A122" s="197">
        <f t="shared" si="28"/>
        <v>75</v>
      </c>
      <c r="B122" s="13" t="s">
        <v>134</v>
      </c>
      <c r="C122" s="92">
        <v>1917</v>
      </c>
      <c r="D122" s="95">
        <v>1977</v>
      </c>
      <c r="E122" s="92" t="s">
        <v>465</v>
      </c>
      <c r="F122" s="95">
        <v>2</v>
      </c>
      <c r="G122" s="95">
        <v>1</v>
      </c>
      <c r="H122" s="97">
        <v>236.15</v>
      </c>
      <c r="I122" s="97">
        <v>236.15</v>
      </c>
      <c r="J122" s="97">
        <v>147.23</v>
      </c>
      <c r="K122" s="96">
        <v>13</v>
      </c>
      <c r="L122" s="97">
        <f>'виды работ  (2)'!C121</f>
        <v>141012</v>
      </c>
      <c r="M122" s="97">
        <v>0</v>
      </c>
      <c r="N122" s="97">
        <v>0</v>
      </c>
      <c r="O122" s="97">
        <v>0</v>
      </c>
      <c r="P122" s="97">
        <f t="shared" si="26"/>
        <v>141012</v>
      </c>
      <c r="Q122" s="97">
        <f t="shared" si="27"/>
        <v>597.1289434681346</v>
      </c>
      <c r="R122" s="97">
        <v>42000</v>
      </c>
      <c r="S122" s="55" t="s">
        <v>843</v>
      </c>
      <c r="T122" s="92" t="s">
        <v>773</v>
      </c>
      <c r="X122" s="190"/>
    </row>
    <row r="123" spans="1:24" s="186" customFormat="1" ht="15">
      <c r="A123" s="197">
        <f t="shared" si="28"/>
        <v>76</v>
      </c>
      <c r="B123" s="13" t="s">
        <v>135</v>
      </c>
      <c r="C123" s="92">
        <v>1917</v>
      </c>
      <c r="D123" s="95">
        <v>1963</v>
      </c>
      <c r="E123" s="92" t="s">
        <v>465</v>
      </c>
      <c r="F123" s="95">
        <v>2</v>
      </c>
      <c r="G123" s="95">
        <v>1</v>
      </c>
      <c r="H123" s="97">
        <v>192.35</v>
      </c>
      <c r="I123" s="97">
        <v>192.35</v>
      </c>
      <c r="J123" s="97">
        <v>102.35</v>
      </c>
      <c r="K123" s="96">
        <v>8</v>
      </c>
      <c r="L123" s="97">
        <f>'виды работ  (2)'!C122</f>
        <v>115999</v>
      </c>
      <c r="M123" s="97">
        <v>0</v>
      </c>
      <c r="N123" s="97">
        <v>0</v>
      </c>
      <c r="O123" s="97">
        <v>0</v>
      </c>
      <c r="P123" s="97">
        <f t="shared" si="26"/>
        <v>115999</v>
      </c>
      <c r="Q123" s="97">
        <f t="shared" si="27"/>
        <v>603.062126332207</v>
      </c>
      <c r="R123" s="97">
        <v>42000</v>
      </c>
      <c r="S123" s="55" t="s">
        <v>843</v>
      </c>
      <c r="T123" s="92" t="s">
        <v>773</v>
      </c>
      <c r="X123" s="190"/>
    </row>
    <row r="124" spans="1:24" s="186" customFormat="1" ht="15">
      <c r="A124" s="197">
        <f t="shared" si="28"/>
        <v>77</v>
      </c>
      <c r="B124" s="13" t="s">
        <v>136</v>
      </c>
      <c r="C124" s="92">
        <v>1951</v>
      </c>
      <c r="D124" s="95">
        <v>1971</v>
      </c>
      <c r="E124" s="92" t="s">
        <v>465</v>
      </c>
      <c r="F124" s="95">
        <v>2</v>
      </c>
      <c r="G124" s="95">
        <v>1</v>
      </c>
      <c r="H124" s="97">
        <v>225.22</v>
      </c>
      <c r="I124" s="97">
        <v>225.22</v>
      </c>
      <c r="J124" s="97">
        <v>161.03</v>
      </c>
      <c r="K124" s="96">
        <v>18</v>
      </c>
      <c r="L124" s="97">
        <f>'виды работ  (2)'!C123</f>
        <v>70620</v>
      </c>
      <c r="M124" s="97">
        <v>0</v>
      </c>
      <c r="N124" s="97">
        <v>0</v>
      </c>
      <c r="O124" s="97">
        <v>0</v>
      </c>
      <c r="P124" s="97">
        <f t="shared" si="26"/>
        <v>70620</v>
      </c>
      <c r="Q124" s="97">
        <f t="shared" si="27"/>
        <v>313.5600745937306</v>
      </c>
      <c r="R124" s="97">
        <v>42000</v>
      </c>
      <c r="S124" s="55" t="s">
        <v>843</v>
      </c>
      <c r="T124" s="92" t="s">
        <v>773</v>
      </c>
      <c r="X124" s="190"/>
    </row>
    <row r="125" spans="1:24" s="186" customFormat="1" ht="15">
      <c r="A125" s="197">
        <f t="shared" si="28"/>
        <v>78</v>
      </c>
      <c r="B125" s="13" t="s">
        <v>137</v>
      </c>
      <c r="C125" s="92">
        <v>1963</v>
      </c>
      <c r="D125" s="95"/>
      <c r="E125" s="86" t="s">
        <v>94</v>
      </c>
      <c r="F125" s="95">
        <v>2</v>
      </c>
      <c r="G125" s="95">
        <v>2</v>
      </c>
      <c r="H125" s="97">
        <v>439.05</v>
      </c>
      <c r="I125" s="97">
        <v>439.05</v>
      </c>
      <c r="J125" s="97">
        <v>278.18</v>
      </c>
      <c r="K125" s="96">
        <v>19</v>
      </c>
      <c r="L125" s="97">
        <f>'виды работ  (2)'!C124</f>
        <v>71467</v>
      </c>
      <c r="M125" s="97">
        <v>0</v>
      </c>
      <c r="N125" s="97">
        <v>0</v>
      </c>
      <c r="O125" s="97">
        <v>0</v>
      </c>
      <c r="P125" s="97">
        <f t="shared" si="26"/>
        <v>71467</v>
      </c>
      <c r="Q125" s="97">
        <f t="shared" si="27"/>
        <v>162.77644915157725</v>
      </c>
      <c r="R125" s="97">
        <v>42000</v>
      </c>
      <c r="S125" s="55" t="s">
        <v>843</v>
      </c>
      <c r="T125" s="92" t="s">
        <v>773</v>
      </c>
      <c r="X125" s="190"/>
    </row>
    <row r="126" spans="1:24" s="186" customFormat="1" ht="15">
      <c r="A126" s="197">
        <f t="shared" si="28"/>
        <v>79</v>
      </c>
      <c r="B126" s="13" t="s">
        <v>138</v>
      </c>
      <c r="C126" s="92">
        <v>1917</v>
      </c>
      <c r="D126" s="95">
        <v>2014</v>
      </c>
      <c r="E126" s="92" t="s">
        <v>465</v>
      </c>
      <c r="F126" s="95">
        <v>2</v>
      </c>
      <c r="G126" s="95">
        <v>1</v>
      </c>
      <c r="H126" s="97">
        <v>138.79</v>
      </c>
      <c r="I126" s="97">
        <v>138.79</v>
      </c>
      <c r="J126" s="97">
        <v>97.88</v>
      </c>
      <c r="K126" s="96">
        <v>12</v>
      </c>
      <c r="L126" s="97">
        <f>'виды работ  (2)'!C125</f>
        <v>182928</v>
      </c>
      <c r="M126" s="97">
        <v>0</v>
      </c>
      <c r="N126" s="97">
        <v>0</v>
      </c>
      <c r="O126" s="97">
        <v>0</v>
      </c>
      <c r="P126" s="97">
        <f t="shared" si="26"/>
        <v>182928</v>
      </c>
      <c r="Q126" s="97">
        <f t="shared" si="27"/>
        <v>1318.0200302615463</v>
      </c>
      <c r="R126" s="97">
        <v>42000</v>
      </c>
      <c r="S126" s="55" t="s">
        <v>843</v>
      </c>
      <c r="T126" s="92" t="s">
        <v>773</v>
      </c>
      <c r="X126" s="190"/>
    </row>
    <row r="127" spans="1:24" s="186" customFormat="1" ht="15">
      <c r="A127" s="197">
        <f t="shared" si="28"/>
        <v>80</v>
      </c>
      <c r="B127" s="13" t="s">
        <v>139</v>
      </c>
      <c r="C127" s="92">
        <v>1917</v>
      </c>
      <c r="D127" s="95">
        <v>1965</v>
      </c>
      <c r="E127" s="92" t="s">
        <v>465</v>
      </c>
      <c r="F127" s="95">
        <v>2</v>
      </c>
      <c r="G127" s="95">
        <v>1</v>
      </c>
      <c r="H127" s="97">
        <v>187.37</v>
      </c>
      <c r="I127" s="97">
        <v>187.37</v>
      </c>
      <c r="J127" s="97">
        <v>132.63</v>
      </c>
      <c r="K127" s="96">
        <v>14</v>
      </c>
      <c r="L127" s="97">
        <f>'виды работ  (2)'!C126</f>
        <v>193040</v>
      </c>
      <c r="M127" s="97">
        <v>0</v>
      </c>
      <c r="N127" s="97">
        <v>0</v>
      </c>
      <c r="O127" s="97">
        <v>0</v>
      </c>
      <c r="P127" s="97">
        <f t="shared" si="26"/>
        <v>193040</v>
      </c>
      <c r="Q127" s="97">
        <f t="shared" si="27"/>
        <v>1030.2609809467897</v>
      </c>
      <c r="R127" s="97">
        <v>42000</v>
      </c>
      <c r="S127" s="55" t="s">
        <v>843</v>
      </c>
      <c r="T127" s="92" t="s">
        <v>773</v>
      </c>
      <c r="X127" s="190"/>
    </row>
    <row r="128" spans="1:24" s="186" customFormat="1" ht="15">
      <c r="A128" s="197">
        <f t="shared" si="28"/>
        <v>81</v>
      </c>
      <c r="B128" s="13" t="s">
        <v>140</v>
      </c>
      <c r="C128" s="92">
        <v>1917</v>
      </c>
      <c r="D128" s="95">
        <v>1965</v>
      </c>
      <c r="E128" s="92" t="s">
        <v>465</v>
      </c>
      <c r="F128" s="95">
        <v>2</v>
      </c>
      <c r="G128" s="95">
        <v>1</v>
      </c>
      <c r="H128" s="97">
        <v>157.78</v>
      </c>
      <c r="I128" s="97">
        <v>157.78</v>
      </c>
      <c r="J128" s="97">
        <v>107.25</v>
      </c>
      <c r="K128" s="96">
        <v>8</v>
      </c>
      <c r="L128" s="97">
        <f>'виды работ  (2)'!C127</f>
        <v>226977</v>
      </c>
      <c r="M128" s="97">
        <v>0</v>
      </c>
      <c r="N128" s="97">
        <v>0</v>
      </c>
      <c r="O128" s="97">
        <v>0</v>
      </c>
      <c r="P128" s="97">
        <f t="shared" si="26"/>
        <v>226977</v>
      </c>
      <c r="Q128" s="97">
        <f t="shared" si="27"/>
        <v>1438.5663582203067</v>
      </c>
      <c r="R128" s="97">
        <v>42000</v>
      </c>
      <c r="S128" s="55" t="s">
        <v>843</v>
      </c>
      <c r="T128" s="92" t="s">
        <v>773</v>
      </c>
      <c r="X128" s="190"/>
    </row>
    <row r="129" spans="1:24" s="186" customFormat="1" ht="15">
      <c r="A129" s="197">
        <f t="shared" si="28"/>
        <v>82</v>
      </c>
      <c r="B129" s="13" t="s">
        <v>141</v>
      </c>
      <c r="C129" s="92">
        <v>1959</v>
      </c>
      <c r="D129" s="95"/>
      <c r="E129" s="86" t="s">
        <v>94</v>
      </c>
      <c r="F129" s="95">
        <v>2</v>
      </c>
      <c r="G129" s="95">
        <v>2</v>
      </c>
      <c r="H129" s="97">
        <v>431.14</v>
      </c>
      <c r="I129" s="97">
        <v>431.14</v>
      </c>
      <c r="J129" s="97">
        <v>261.39</v>
      </c>
      <c r="K129" s="96">
        <v>24</v>
      </c>
      <c r="L129" s="97">
        <f>'виды работ  (2)'!C128</f>
        <v>102696</v>
      </c>
      <c r="M129" s="97">
        <v>0</v>
      </c>
      <c r="N129" s="97">
        <v>0</v>
      </c>
      <c r="O129" s="97">
        <v>0</v>
      </c>
      <c r="P129" s="97">
        <f t="shared" si="26"/>
        <v>102696</v>
      </c>
      <c r="Q129" s="97">
        <f t="shared" si="27"/>
        <v>238.19640951894976</v>
      </c>
      <c r="R129" s="97">
        <v>42000</v>
      </c>
      <c r="S129" s="55" t="s">
        <v>843</v>
      </c>
      <c r="T129" s="92" t="s">
        <v>773</v>
      </c>
      <c r="X129" s="190"/>
    </row>
    <row r="130" spans="1:24" s="186" customFormat="1" ht="15">
      <c r="A130" s="197">
        <f t="shared" si="28"/>
        <v>83</v>
      </c>
      <c r="B130" s="13" t="s">
        <v>142</v>
      </c>
      <c r="C130" s="92">
        <v>1951</v>
      </c>
      <c r="D130" s="95"/>
      <c r="E130" s="92" t="s">
        <v>465</v>
      </c>
      <c r="F130" s="95">
        <v>2</v>
      </c>
      <c r="G130" s="95">
        <v>2</v>
      </c>
      <c r="H130" s="97">
        <v>484.7</v>
      </c>
      <c r="I130" s="97">
        <v>484.7</v>
      </c>
      <c r="J130" s="97">
        <v>317.8</v>
      </c>
      <c r="K130" s="96">
        <v>19</v>
      </c>
      <c r="L130" s="97">
        <f>'виды работ  (2)'!C129</f>
        <v>224456</v>
      </c>
      <c r="M130" s="97">
        <v>0</v>
      </c>
      <c r="N130" s="97">
        <v>0</v>
      </c>
      <c r="O130" s="97">
        <v>0</v>
      </c>
      <c r="P130" s="97">
        <f t="shared" si="26"/>
        <v>224456</v>
      </c>
      <c r="Q130" s="97">
        <f t="shared" si="27"/>
        <v>463.08231896018157</v>
      </c>
      <c r="R130" s="97">
        <v>42000</v>
      </c>
      <c r="S130" s="55" t="s">
        <v>843</v>
      </c>
      <c r="T130" s="92" t="s">
        <v>773</v>
      </c>
      <c r="X130" s="190"/>
    </row>
    <row r="131" spans="1:24" s="186" customFormat="1" ht="15">
      <c r="A131" s="197">
        <f t="shared" si="28"/>
        <v>84</v>
      </c>
      <c r="B131" s="13" t="s">
        <v>810</v>
      </c>
      <c r="C131" s="77">
        <v>1917</v>
      </c>
      <c r="D131" s="77">
        <v>1964</v>
      </c>
      <c r="E131" s="86" t="s">
        <v>94</v>
      </c>
      <c r="F131" s="77">
        <v>2</v>
      </c>
      <c r="G131" s="77">
        <v>2</v>
      </c>
      <c r="H131" s="71">
        <v>118.18</v>
      </c>
      <c r="I131" s="71">
        <v>118.18</v>
      </c>
      <c r="J131" s="71">
        <v>86.84</v>
      </c>
      <c r="K131" s="197">
        <v>4</v>
      </c>
      <c r="L131" s="97">
        <f>'виды работ  (2)'!C130</f>
        <v>157668</v>
      </c>
      <c r="M131" s="97">
        <v>0</v>
      </c>
      <c r="N131" s="97">
        <v>0</v>
      </c>
      <c r="O131" s="97">
        <v>0</v>
      </c>
      <c r="P131" s="97">
        <f>L131</f>
        <v>157668</v>
      </c>
      <c r="Q131" s="97">
        <f>L131/H131</f>
        <v>1334.13437129802</v>
      </c>
      <c r="R131" s="97">
        <v>42000</v>
      </c>
      <c r="S131" s="55" t="s">
        <v>843</v>
      </c>
      <c r="T131" s="92" t="s">
        <v>773</v>
      </c>
      <c r="X131" s="190"/>
    </row>
    <row r="132" spans="1:24" s="186" customFormat="1" ht="15">
      <c r="A132" s="197">
        <f t="shared" si="28"/>
        <v>85</v>
      </c>
      <c r="B132" s="13" t="s">
        <v>143</v>
      </c>
      <c r="C132" s="92">
        <v>1917</v>
      </c>
      <c r="D132" s="95">
        <v>1972</v>
      </c>
      <c r="E132" s="92" t="s">
        <v>465</v>
      </c>
      <c r="F132" s="95">
        <v>1</v>
      </c>
      <c r="G132" s="95">
        <v>1</v>
      </c>
      <c r="H132" s="97">
        <v>143.3</v>
      </c>
      <c r="I132" s="97">
        <v>143.3</v>
      </c>
      <c r="J132" s="97">
        <v>92.1</v>
      </c>
      <c r="K132" s="96">
        <v>8</v>
      </c>
      <c r="L132" s="97">
        <f>'виды работ  (2)'!C131</f>
        <v>195207</v>
      </c>
      <c r="M132" s="97">
        <v>0</v>
      </c>
      <c r="N132" s="97">
        <v>0</v>
      </c>
      <c r="O132" s="97">
        <v>0</v>
      </c>
      <c r="P132" s="97">
        <f t="shared" si="26"/>
        <v>195207</v>
      </c>
      <c r="Q132" s="97">
        <f t="shared" si="27"/>
        <v>1362.226099092812</v>
      </c>
      <c r="R132" s="97">
        <v>42000</v>
      </c>
      <c r="S132" s="55" t="s">
        <v>843</v>
      </c>
      <c r="T132" s="92" t="s">
        <v>773</v>
      </c>
      <c r="X132" s="190"/>
    </row>
    <row r="133" spans="1:24" s="186" customFormat="1" ht="15">
      <c r="A133" s="197">
        <f t="shared" si="28"/>
        <v>86</v>
      </c>
      <c r="B133" s="13" t="s">
        <v>144</v>
      </c>
      <c r="C133" s="92">
        <v>1977</v>
      </c>
      <c r="D133" s="95"/>
      <c r="E133" s="92" t="s">
        <v>465</v>
      </c>
      <c r="F133" s="95">
        <v>2</v>
      </c>
      <c r="G133" s="95">
        <v>1</v>
      </c>
      <c r="H133" s="97">
        <v>404.84</v>
      </c>
      <c r="I133" s="97">
        <v>404.84</v>
      </c>
      <c r="J133" s="97">
        <v>272.98</v>
      </c>
      <c r="K133" s="96">
        <v>26</v>
      </c>
      <c r="L133" s="97">
        <f>'виды работ  (2)'!C132</f>
        <v>200100</v>
      </c>
      <c r="M133" s="97">
        <v>0</v>
      </c>
      <c r="N133" s="97">
        <v>0</v>
      </c>
      <c r="O133" s="97">
        <v>0</v>
      </c>
      <c r="P133" s="97">
        <f t="shared" si="26"/>
        <v>200100</v>
      </c>
      <c r="Q133" s="97">
        <f t="shared" si="27"/>
        <v>494.26934097421207</v>
      </c>
      <c r="R133" s="97">
        <v>42000</v>
      </c>
      <c r="S133" s="55" t="s">
        <v>843</v>
      </c>
      <c r="T133" s="92" t="s">
        <v>773</v>
      </c>
      <c r="X133" s="190"/>
    </row>
    <row r="134" spans="1:24" s="186" customFormat="1" ht="15">
      <c r="A134" s="197">
        <f t="shared" si="28"/>
        <v>87</v>
      </c>
      <c r="B134" s="13" t="s">
        <v>145</v>
      </c>
      <c r="C134" s="92">
        <v>1976</v>
      </c>
      <c r="D134" s="95"/>
      <c r="E134" s="86" t="s">
        <v>94</v>
      </c>
      <c r="F134" s="95">
        <v>5</v>
      </c>
      <c r="G134" s="95">
        <v>2</v>
      </c>
      <c r="H134" s="97">
        <v>3664.5</v>
      </c>
      <c r="I134" s="97">
        <v>3664.5</v>
      </c>
      <c r="J134" s="97">
        <v>2481</v>
      </c>
      <c r="K134" s="96">
        <v>198</v>
      </c>
      <c r="L134" s="97">
        <f>'виды работ  (2)'!C133</f>
        <v>99323</v>
      </c>
      <c r="M134" s="97">
        <v>0</v>
      </c>
      <c r="N134" s="97">
        <v>0</v>
      </c>
      <c r="O134" s="97">
        <v>0</v>
      </c>
      <c r="P134" s="97">
        <f t="shared" si="26"/>
        <v>99323</v>
      </c>
      <c r="Q134" s="97">
        <f t="shared" si="27"/>
        <v>27.104106972301814</v>
      </c>
      <c r="R134" s="97">
        <v>42000</v>
      </c>
      <c r="S134" s="55" t="s">
        <v>843</v>
      </c>
      <c r="T134" s="92" t="s">
        <v>773</v>
      </c>
      <c r="X134" s="190"/>
    </row>
    <row r="135" spans="1:24" s="186" customFormat="1" ht="15">
      <c r="A135" s="197">
        <f t="shared" si="28"/>
        <v>88</v>
      </c>
      <c r="B135" s="13" t="s">
        <v>146</v>
      </c>
      <c r="C135" s="77">
        <v>1957</v>
      </c>
      <c r="D135" s="77"/>
      <c r="E135" s="86" t="s">
        <v>94</v>
      </c>
      <c r="F135" s="77">
        <v>2</v>
      </c>
      <c r="G135" s="77">
        <v>3</v>
      </c>
      <c r="H135" s="71">
        <v>973.4</v>
      </c>
      <c r="I135" s="71">
        <v>973.4</v>
      </c>
      <c r="J135" s="71">
        <v>620.5</v>
      </c>
      <c r="K135" s="197">
        <v>34</v>
      </c>
      <c r="L135" s="97">
        <f>'виды работ  (2)'!C134</f>
        <v>164597</v>
      </c>
      <c r="M135" s="97">
        <v>0</v>
      </c>
      <c r="N135" s="97">
        <v>0</v>
      </c>
      <c r="O135" s="97">
        <v>0</v>
      </c>
      <c r="P135" s="97">
        <f t="shared" si="26"/>
        <v>164597</v>
      </c>
      <c r="Q135" s="97">
        <f t="shared" si="27"/>
        <v>169.09492500513664</v>
      </c>
      <c r="R135" s="97">
        <v>42000</v>
      </c>
      <c r="S135" s="55" t="s">
        <v>843</v>
      </c>
      <c r="T135" s="92" t="s">
        <v>773</v>
      </c>
      <c r="X135" s="190"/>
    </row>
    <row r="136" spans="1:24" s="186" customFormat="1" ht="15">
      <c r="A136" s="197">
        <f t="shared" si="28"/>
        <v>89</v>
      </c>
      <c r="B136" s="13" t="s">
        <v>147</v>
      </c>
      <c r="C136" s="77">
        <v>1958</v>
      </c>
      <c r="D136" s="77"/>
      <c r="E136" s="92" t="s">
        <v>465</v>
      </c>
      <c r="F136" s="77">
        <v>2</v>
      </c>
      <c r="G136" s="77">
        <v>2</v>
      </c>
      <c r="H136" s="71">
        <v>366.96</v>
      </c>
      <c r="I136" s="71">
        <v>366.96</v>
      </c>
      <c r="J136" s="71">
        <v>249.88</v>
      </c>
      <c r="K136" s="197">
        <v>16</v>
      </c>
      <c r="L136" s="97">
        <f>'виды работ  (2)'!C135</f>
        <v>100661</v>
      </c>
      <c r="M136" s="97">
        <v>0</v>
      </c>
      <c r="N136" s="97">
        <v>0</v>
      </c>
      <c r="O136" s="97">
        <v>0</v>
      </c>
      <c r="P136" s="97">
        <f t="shared" si="26"/>
        <v>100661</v>
      </c>
      <c r="Q136" s="97">
        <f t="shared" si="27"/>
        <v>274.310551558753</v>
      </c>
      <c r="R136" s="97">
        <v>42000</v>
      </c>
      <c r="S136" s="55" t="s">
        <v>843</v>
      </c>
      <c r="T136" s="92" t="s">
        <v>773</v>
      </c>
      <c r="X136" s="190"/>
    </row>
    <row r="137" spans="1:24" s="186" customFormat="1" ht="15">
      <c r="A137" s="197">
        <f t="shared" si="28"/>
        <v>90</v>
      </c>
      <c r="B137" s="13" t="s">
        <v>148</v>
      </c>
      <c r="C137" s="92">
        <v>1917</v>
      </c>
      <c r="D137" s="95">
        <v>1974</v>
      </c>
      <c r="E137" s="92" t="s">
        <v>94</v>
      </c>
      <c r="F137" s="95">
        <v>2</v>
      </c>
      <c r="G137" s="95">
        <v>1</v>
      </c>
      <c r="H137" s="97">
        <v>518.73</v>
      </c>
      <c r="I137" s="97">
        <v>518.73</v>
      </c>
      <c r="J137" s="97">
        <v>282.32</v>
      </c>
      <c r="K137" s="96">
        <v>11</v>
      </c>
      <c r="L137" s="97">
        <f>'виды работ  (2)'!C136</f>
        <v>227608</v>
      </c>
      <c r="M137" s="97">
        <v>0</v>
      </c>
      <c r="N137" s="97">
        <v>0</v>
      </c>
      <c r="O137" s="97">
        <v>0</v>
      </c>
      <c r="P137" s="97">
        <f t="shared" si="26"/>
        <v>227608</v>
      </c>
      <c r="Q137" s="97">
        <f t="shared" si="27"/>
        <v>438.77932643186244</v>
      </c>
      <c r="R137" s="97">
        <v>42000</v>
      </c>
      <c r="S137" s="55" t="s">
        <v>843</v>
      </c>
      <c r="T137" s="92" t="s">
        <v>773</v>
      </c>
      <c r="X137" s="190"/>
    </row>
    <row r="138" spans="1:24" s="186" customFormat="1" ht="15">
      <c r="A138" s="197">
        <f t="shared" si="28"/>
        <v>91</v>
      </c>
      <c r="B138" s="13" t="s">
        <v>149</v>
      </c>
      <c r="C138" s="92">
        <v>1959</v>
      </c>
      <c r="D138" s="95"/>
      <c r="E138" s="92" t="s">
        <v>465</v>
      </c>
      <c r="F138" s="95">
        <v>2</v>
      </c>
      <c r="G138" s="95">
        <v>1</v>
      </c>
      <c r="H138" s="97">
        <v>377.5</v>
      </c>
      <c r="I138" s="97">
        <v>377.5</v>
      </c>
      <c r="J138" s="97">
        <v>249.1</v>
      </c>
      <c r="K138" s="96">
        <v>23</v>
      </c>
      <c r="L138" s="97">
        <f>'виды работ  (2)'!C137</f>
        <v>224646</v>
      </c>
      <c r="M138" s="97">
        <v>0</v>
      </c>
      <c r="N138" s="97">
        <v>0</v>
      </c>
      <c r="O138" s="97">
        <v>0</v>
      </c>
      <c r="P138" s="97">
        <f t="shared" si="26"/>
        <v>224646</v>
      </c>
      <c r="Q138" s="97">
        <f t="shared" si="27"/>
        <v>595.0887417218543</v>
      </c>
      <c r="R138" s="97">
        <v>42000</v>
      </c>
      <c r="S138" s="55" t="s">
        <v>843</v>
      </c>
      <c r="T138" s="92" t="s">
        <v>773</v>
      </c>
      <c r="X138" s="190"/>
    </row>
    <row r="139" spans="1:24" s="186" customFormat="1" ht="15">
      <c r="A139" s="197">
        <f t="shared" si="28"/>
        <v>92</v>
      </c>
      <c r="B139" s="13" t="s">
        <v>150</v>
      </c>
      <c r="C139" s="92">
        <v>1917</v>
      </c>
      <c r="D139" s="95">
        <v>1976</v>
      </c>
      <c r="E139" s="92" t="s">
        <v>465</v>
      </c>
      <c r="F139" s="95">
        <v>2</v>
      </c>
      <c r="G139" s="95">
        <v>1</v>
      </c>
      <c r="H139" s="97">
        <v>321.06</v>
      </c>
      <c r="I139" s="97">
        <v>321.06</v>
      </c>
      <c r="J139" s="97">
        <v>201.52</v>
      </c>
      <c r="K139" s="96">
        <v>22</v>
      </c>
      <c r="L139" s="97">
        <f>'виды работ  (2)'!C138</f>
        <v>198671</v>
      </c>
      <c r="M139" s="97">
        <v>0</v>
      </c>
      <c r="N139" s="97">
        <v>0</v>
      </c>
      <c r="O139" s="97">
        <v>0</v>
      </c>
      <c r="P139" s="97">
        <f t="shared" si="26"/>
        <v>198671</v>
      </c>
      <c r="Q139" s="97">
        <f t="shared" si="27"/>
        <v>618.7971095745344</v>
      </c>
      <c r="R139" s="97">
        <v>42000</v>
      </c>
      <c r="S139" s="55" t="s">
        <v>843</v>
      </c>
      <c r="T139" s="92" t="s">
        <v>773</v>
      </c>
      <c r="X139" s="190"/>
    </row>
    <row r="140" spans="1:24" s="186" customFormat="1" ht="15">
      <c r="A140" s="197">
        <f t="shared" si="28"/>
        <v>93</v>
      </c>
      <c r="B140" s="13" t="s">
        <v>153</v>
      </c>
      <c r="C140" s="92">
        <v>1955</v>
      </c>
      <c r="D140" s="95"/>
      <c r="E140" s="92" t="s">
        <v>465</v>
      </c>
      <c r="F140" s="95">
        <v>2</v>
      </c>
      <c r="G140" s="95">
        <v>1</v>
      </c>
      <c r="H140" s="97">
        <v>157.71</v>
      </c>
      <c r="I140" s="97">
        <v>157.71</v>
      </c>
      <c r="J140" s="97">
        <v>118.11</v>
      </c>
      <c r="K140" s="96">
        <v>12</v>
      </c>
      <c r="L140" s="97">
        <f>'виды работ  (2)'!C139</f>
        <v>856071</v>
      </c>
      <c r="M140" s="97">
        <v>0</v>
      </c>
      <c r="N140" s="97">
        <v>0</v>
      </c>
      <c r="O140" s="97">
        <v>0</v>
      </c>
      <c r="P140" s="97">
        <f t="shared" si="26"/>
        <v>856071</v>
      </c>
      <c r="Q140" s="97">
        <f t="shared" si="27"/>
        <v>5428.133916682518</v>
      </c>
      <c r="R140" s="97">
        <v>42000</v>
      </c>
      <c r="S140" s="55" t="s">
        <v>843</v>
      </c>
      <c r="T140" s="92" t="s">
        <v>773</v>
      </c>
      <c r="X140" s="190"/>
    </row>
    <row r="141" spans="1:24" s="186" customFormat="1" ht="15">
      <c r="A141" s="197">
        <f t="shared" si="28"/>
        <v>94</v>
      </c>
      <c r="B141" s="13" t="s">
        <v>154</v>
      </c>
      <c r="C141" s="92">
        <v>1956</v>
      </c>
      <c r="D141" s="95"/>
      <c r="E141" s="92" t="s">
        <v>465</v>
      </c>
      <c r="F141" s="95">
        <v>2</v>
      </c>
      <c r="G141" s="95">
        <v>2</v>
      </c>
      <c r="H141" s="97">
        <v>182.2</v>
      </c>
      <c r="I141" s="97">
        <v>182.2</v>
      </c>
      <c r="J141" s="97">
        <v>118.53</v>
      </c>
      <c r="K141" s="96">
        <v>10</v>
      </c>
      <c r="L141" s="97">
        <f>'виды работ  (2)'!C140</f>
        <v>841446</v>
      </c>
      <c r="M141" s="97">
        <v>0</v>
      </c>
      <c r="N141" s="97">
        <v>0</v>
      </c>
      <c r="O141" s="97">
        <v>0</v>
      </c>
      <c r="P141" s="97">
        <f t="shared" si="26"/>
        <v>841446</v>
      </c>
      <c r="Q141" s="97">
        <f t="shared" si="27"/>
        <v>4618.254665203074</v>
      </c>
      <c r="R141" s="97">
        <v>42000</v>
      </c>
      <c r="S141" s="55" t="s">
        <v>843</v>
      </c>
      <c r="T141" s="92" t="s">
        <v>773</v>
      </c>
      <c r="X141" s="190"/>
    </row>
    <row r="142" spans="1:24" s="186" customFormat="1" ht="15">
      <c r="A142" s="197">
        <f t="shared" si="28"/>
        <v>95</v>
      </c>
      <c r="B142" s="13" t="s">
        <v>155</v>
      </c>
      <c r="C142" s="92">
        <v>1955</v>
      </c>
      <c r="D142" s="95"/>
      <c r="E142" s="92" t="s">
        <v>465</v>
      </c>
      <c r="F142" s="95">
        <v>2</v>
      </c>
      <c r="G142" s="95">
        <v>1</v>
      </c>
      <c r="H142" s="97">
        <v>159.81</v>
      </c>
      <c r="I142" s="97">
        <v>159.81</v>
      </c>
      <c r="J142" s="97">
        <v>120.57</v>
      </c>
      <c r="K142" s="96">
        <v>6</v>
      </c>
      <c r="L142" s="97">
        <f>'виды работ  (2)'!C141</f>
        <v>841446</v>
      </c>
      <c r="M142" s="97">
        <v>0</v>
      </c>
      <c r="N142" s="97">
        <v>0</v>
      </c>
      <c r="O142" s="97">
        <v>0</v>
      </c>
      <c r="P142" s="97">
        <f t="shared" si="26"/>
        <v>841446</v>
      </c>
      <c r="Q142" s="97">
        <f t="shared" si="27"/>
        <v>5265.290031912897</v>
      </c>
      <c r="R142" s="97">
        <v>42000</v>
      </c>
      <c r="S142" s="55" t="s">
        <v>843</v>
      </c>
      <c r="T142" s="92" t="s">
        <v>773</v>
      </c>
      <c r="X142" s="190"/>
    </row>
    <row r="143" spans="1:24" s="186" customFormat="1" ht="15">
      <c r="A143" s="197">
        <f t="shared" si="28"/>
        <v>96</v>
      </c>
      <c r="B143" s="13" t="s">
        <v>156</v>
      </c>
      <c r="C143" s="92">
        <v>1917</v>
      </c>
      <c r="D143" s="95">
        <v>1967</v>
      </c>
      <c r="E143" s="95" t="s">
        <v>813</v>
      </c>
      <c r="F143" s="95">
        <v>2</v>
      </c>
      <c r="G143" s="95">
        <v>2</v>
      </c>
      <c r="H143" s="97">
        <v>255.43</v>
      </c>
      <c r="I143" s="97">
        <v>255.43</v>
      </c>
      <c r="J143" s="97">
        <v>182.15</v>
      </c>
      <c r="K143" s="96">
        <v>17</v>
      </c>
      <c r="L143" s="97">
        <f>'виды работ  (2)'!C142</f>
        <v>172826</v>
      </c>
      <c r="M143" s="97">
        <v>0</v>
      </c>
      <c r="N143" s="97">
        <v>0</v>
      </c>
      <c r="O143" s="97">
        <v>0</v>
      </c>
      <c r="P143" s="97">
        <f t="shared" si="26"/>
        <v>172826</v>
      </c>
      <c r="Q143" s="97">
        <f t="shared" si="27"/>
        <v>676.608072661786</v>
      </c>
      <c r="R143" s="97">
        <v>42000</v>
      </c>
      <c r="S143" s="55" t="s">
        <v>843</v>
      </c>
      <c r="T143" s="92" t="s">
        <v>773</v>
      </c>
      <c r="X143" s="190"/>
    </row>
    <row r="144" spans="1:24" s="186" customFormat="1" ht="15">
      <c r="A144" s="197">
        <f t="shared" si="28"/>
        <v>97</v>
      </c>
      <c r="B144" s="13" t="s">
        <v>157</v>
      </c>
      <c r="C144" s="77">
        <v>1917</v>
      </c>
      <c r="D144" s="77">
        <v>1958</v>
      </c>
      <c r="E144" s="92" t="s">
        <v>465</v>
      </c>
      <c r="F144" s="77">
        <v>2</v>
      </c>
      <c r="G144" s="77">
        <v>2</v>
      </c>
      <c r="H144" s="71">
        <v>287.1</v>
      </c>
      <c r="I144" s="71">
        <v>287.1</v>
      </c>
      <c r="J144" s="71">
        <v>175.9</v>
      </c>
      <c r="K144" s="197">
        <v>14</v>
      </c>
      <c r="L144" s="97">
        <f>'виды работ  (2)'!C143</f>
        <v>241703</v>
      </c>
      <c r="M144" s="97">
        <v>0</v>
      </c>
      <c r="N144" s="97">
        <v>0</v>
      </c>
      <c r="O144" s="97">
        <v>0</v>
      </c>
      <c r="P144" s="97">
        <f t="shared" si="26"/>
        <v>241703</v>
      </c>
      <c r="Q144" s="97">
        <f t="shared" si="27"/>
        <v>841.8773946360153</v>
      </c>
      <c r="R144" s="97">
        <v>42000</v>
      </c>
      <c r="S144" s="55" t="s">
        <v>843</v>
      </c>
      <c r="T144" s="92" t="s">
        <v>773</v>
      </c>
      <c r="X144" s="190"/>
    </row>
    <row r="145" spans="1:24" s="186" customFormat="1" ht="15">
      <c r="A145" s="197">
        <f t="shared" si="28"/>
        <v>98</v>
      </c>
      <c r="B145" s="13" t="s">
        <v>158</v>
      </c>
      <c r="C145" s="92">
        <v>1917</v>
      </c>
      <c r="D145" s="95">
        <v>1971</v>
      </c>
      <c r="E145" s="92" t="s">
        <v>465</v>
      </c>
      <c r="F145" s="95">
        <v>2</v>
      </c>
      <c r="G145" s="95">
        <v>1</v>
      </c>
      <c r="H145" s="97">
        <v>160.6</v>
      </c>
      <c r="I145" s="97">
        <v>160.6</v>
      </c>
      <c r="J145" s="97">
        <v>91.88</v>
      </c>
      <c r="K145" s="96">
        <v>8</v>
      </c>
      <c r="L145" s="97">
        <f>'виды работ  (2)'!C144</f>
        <v>122321</v>
      </c>
      <c r="M145" s="97">
        <v>0</v>
      </c>
      <c r="N145" s="97">
        <v>0</v>
      </c>
      <c r="O145" s="97">
        <v>0</v>
      </c>
      <c r="P145" s="97">
        <f t="shared" si="26"/>
        <v>122321</v>
      </c>
      <c r="Q145" s="97">
        <f t="shared" si="27"/>
        <v>761.6500622665006</v>
      </c>
      <c r="R145" s="97">
        <v>42000</v>
      </c>
      <c r="S145" s="55" t="s">
        <v>843</v>
      </c>
      <c r="T145" s="92" t="s">
        <v>773</v>
      </c>
      <c r="X145" s="190"/>
    </row>
    <row r="146" spans="1:24" s="186" customFormat="1" ht="15">
      <c r="A146" s="197">
        <f t="shared" si="28"/>
        <v>99</v>
      </c>
      <c r="B146" s="13" t="s">
        <v>159</v>
      </c>
      <c r="C146" s="92">
        <v>1917</v>
      </c>
      <c r="D146" s="95">
        <v>1980</v>
      </c>
      <c r="E146" s="92" t="s">
        <v>465</v>
      </c>
      <c r="F146" s="95">
        <v>2</v>
      </c>
      <c r="G146" s="95">
        <v>3</v>
      </c>
      <c r="H146" s="97">
        <v>311.76</v>
      </c>
      <c r="I146" s="97">
        <v>311.76</v>
      </c>
      <c r="J146" s="97">
        <v>215.74</v>
      </c>
      <c r="K146" s="96">
        <v>14</v>
      </c>
      <c r="L146" s="97">
        <f>'виды работ  (2)'!C145</f>
        <v>259254</v>
      </c>
      <c r="M146" s="97">
        <v>0</v>
      </c>
      <c r="N146" s="97">
        <v>0</v>
      </c>
      <c r="O146" s="97">
        <v>0</v>
      </c>
      <c r="P146" s="97">
        <f t="shared" si="26"/>
        <v>259254</v>
      </c>
      <c r="Q146" s="97">
        <f t="shared" si="27"/>
        <v>831.5819861431871</v>
      </c>
      <c r="R146" s="97">
        <v>42000</v>
      </c>
      <c r="S146" s="55" t="s">
        <v>843</v>
      </c>
      <c r="T146" s="92" t="s">
        <v>773</v>
      </c>
      <c r="X146" s="190"/>
    </row>
    <row r="147" spans="1:24" s="186" customFormat="1" ht="15">
      <c r="A147" s="197">
        <f t="shared" si="28"/>
        <v>100</v>
      </c>
      <c r="B147" s="13" t="s">
        <v>160</v>
      </c>
      <c r="C147" s="92">
        <v>1917</v>
      </c>
      <c r="D147" s="95">
        <v>1979</v>
      </c>
      <c r="E147" s="92" t="s">
        <v>465</v>
      </c>
      <c r="F147" s="95">
        <v>2</v>
      </c>
      <c r="G147" s="95">
        <v>1</v>
      </c>
      <c r="H147" s="97">
        <v>468.02</v>
      </c>
      <c r="I147" s="97">
        <v>468.02</v>
      </c>
      <c r="J147" s="97">
        <v>265.18</v>
      </c>
      <c r="K147" s="96">
        <v>21</v>
      </c>
      <c r="L147" s="97">
        <f>'виды работ  (2)'!C146</f>
        <v>317486</v>
      </c>
      <c r="M147" s="97">
        <v>0</v>
      </c>
      <c r="N147" s="97">
        <v>0</v>
      </c>
      <c r="O147" s="97">
        <v>0</v>
      </c>
      <c r="P147" s="97">
        <f t="shared" si="26"/>
        <v>317486</v>
      </c>
      <c r="Q147" s="97">
        <f t="shared" si="27"/>
        <v>678.359899149609</v>
      </c>
      <c r="R147" s="97">
        <v>42000</v>
      </c>
      <c r="S147" s="55" t="s">
        <v>843</v>
      </c>
      <c r="T147" s="92" t="s">
        <v>773</v>
      </c>
      <c r="X147" s="190"/>
    </row>
    <row r="148" spans="1:24" s="186" customFormat="1" ht="15">
      <c r="A148" s="197">
        <f t="shared" si="28"/>
        <v>101</v>
      </c>
      <c r="B148" s="13" t="s">
        <v>161</v>
      </c>
      <c r="C148" s="92">
        <v>1917</v>
      </c>
      <c r="D148" s="95">
        <v>1972</v>
      </c>
      <c r="E148" s="92" t="s">
        <v>465</v>
      </c>
      <c r="F148" s="95">
        <v>2</v>
      </c>
      <c r="G148" s="95">
        <v>2</v>
      </c>
      <c r="H148" s="97">
        <v>287.1</v>
      </c>
      <c r="I148" s="97">
        <v>287.1</v>
      </c>
      <c r="J148" s="97">
        <v>175.9</v>
      </c>
      <c r="K148" s="96">
        <v>14</v>
      </c>
      <c r="L148" s="97">
        <f>'виды работ  (2)'!C147</f>
        <v>178746</v>
      </c>
      <c r="M148" s="97">
        <v>0</v>
      </c>
      <c r="N148" s="97">
        <v>0</v>
      </c>
      <c r="O148" s="97">
        <v>0</v>
      </c>
      <c r="P148" s="97">
        <f t="shared" si="26"/>
        <v>178746</v>
      </c>
      <c r="Q148" s="97">
        <f t="shared" si="27"/>
        <v>622.5914315569488</v>
      </c>
      <c r="R148" s="97">
        <v>42000</v>
      </c>
      <c r="S148" s="55" t="s">
        <v>843</v>
      </c>
      <c r="T148" s="92" t="s">
        <v>773</v>
      </c>
      <c r="X148" s="190"/>
    </row>
    <row r="149" spans="1:24" s="186" customFormat="1" ht="15">
      <c r="A149" s="197">
        <f t="shared" si="28"/>
        <v>102</v>
      </c>
      <c r="B149" s="13" t="s">
        <v>162</v>
      </c>
      <c r="C149" s="92">
        <v>1917</v>
      </c>
      <c r="D149" s="95">
        <v>1970</v>
      </c>
      <c r="E149" s="92" t="s">
        <v>94</v>
      </c>
      <c r="F149" s="95">
        <v>2</v>
      </c>
      <c r="G149" s="95">
        <v>2</v>
      </c>
      <c r="H149" s="97">
        <v>661.6</v>
      </c>
      <c r="I149" s="97">
        <v>661.6</v>
      </c>
      <c r="J149" s="97">
        <v>469.6</v>
      </c>
      <c r="K149" s="96">
        <v>41</v>
      </c>
      <c r="L149" s="97">
        <f>'виды работ  (2)'!C148</f>
        <v>250406</v>
      </c>
      <c r="M149" s="97">
        <v>0</v>
      </c>
      <c r="N149" s="97">
        <v>0</v>
      </c>
      <c r="O149" s="97">
        <v>0</v>
      </c>
      <c r="P149" s="97">
        <f t="shared" si="26"/>
        <v>250406</v>
      </c>
      <c r="Q149" s="97">
        <f t="shared" si="27"/>
        <v>378.4854897218863</v>
      </c>
      <c r="R149" s="97">
        <v>42000</v>
      </c>
      <c r="S149" s="55" t="s">
        <v>843</v>
      </c>
      <c r="T149" s="92" t="s">
        <v>773</v>
      </c>
      <c r="X149" s="190"/>
    </row>
    <row r="150" spans="1:24" s="186" customFormat="1" ht="15">
      <c r="A150" s="197">
        <f t="shared" si="28"/>
        <v>103</v>
      </c>
      <c r="B150" s="13" t="s">
        <v>163</v>
      </c>
      <c r="C150" s="92">
        <v>1917</v>
      </c>
      <c r="D150" s="95">
        <v>1968</v>
      </c>
      <c r="E150" s="92" t="s">
        <v>94</v>
      </c>
      <c r="F150" s="95">
        <v>2</v>
      </c>
      <c r="G150" s="95">
        <v>1</v>
      </c>
      <c r="H150" s="97">
        <v>171.29</v>
      </c>
      <c r="I150" s="97">
        <v>171.29</v>
      </c>
      <c r="J150" s="97">
        <v>124.5</v>
      </c>
      <c r="K150" s="96">
        <v>8</v>
      </c>
      <c r="L150" s="97">
        <f>'виды работ  (2)'!C149</f>
        <v>187868</v>
      </c>
      <c r="M150" s="97">
        <v>0</v>
      </c>
      <c r="N150" s="97">
        <v>0</v>
      </c>
      <c r="O150" s="97">
        <v>0</v>
      </c>
      <c r="P150" s="97">
        <f t="shared" si="26"/>
        <v>187868</v>
      </c>
      <c r="Q150" s="97">
        <f t="shared" si="27"/>
        <v>1096.7832331134334</v>
      </c>
      <c r="R150" s="97">
        <v>42000</v>
      </c>
      <c r="S150" s="55" t="s">
        <v>843</v>
      </c>
      <c r="T150" s="92" t="s">
        <v>773</v>
      </c>
      <c r="X150" s="190"/>
    </row>
    <row r="151" spans="1:24" s="186" customFormat="1" ht="15">
      <c r="A151" s="197">
        <f t="shared" si="28"/>
        <v>104</v>
      </c>
      <c r="B151" s="13" t="s">
        <v>811</v>
      </c>
      <c r="C151" s="77">
        <v>1954</v>
      </c>
      <c r="D151" s="77">
        <v>1970</v>
      </c>
      <c r="E151" s="92" t="s">
        <v>465</v>
      </c>
      <c r="F151" s="77">
        <v>1</v>
      </c>
      <c r="G151" s="77">
        <v>2</v>
      </c>
      <c r="H151" s="71">
        <v>149.2</v>
      </c>
      <c r="I151" s="71">
        <v>149.2</v>
      </c>
      <c r="J151" s="71">
        <v>89.3</v>
      </c>
      <c r="K151" s="197">
        <v>5</v>
      </c>
      <c r="L151" s="97">
        <f>'виды работ  (2)'!C150</f>
        <v>48012</v>
      </c>
      <c r="M151" s="97">
        <v>0</v>
      </c>
      <c r="N151" s="97">
        <v>0</v>
      </c>
      <c r="O151" s="97">
        <v>0</v>
      </c>
      <c r="P151" s="97">
        <f>L151</f>
        <v>48012</v>
      </c>
      <c r="Q151" s="97">
        <f>L151/H151</f>
        <v>321.7962466487936</v>
      </c>
      <c r="R151" s="97">
        <v>42000</v>
      </c>
      <c r="S151" s="55" t="s">
        <v>843</v>
      </c>
      <c r="T151" s="92" t="s">
        <v>773</v>
      </c>
      <c r="X151" s="190"/>
    </row>
    <row r="152" spans="1:24" s="186" customFormat="1" ht="15">
      <c r="A152" s="197">
        <f t="shared" si="28"/>
        <v>105</v>
      </c>
      <c r="B152" s="13" t="s">
        <v>164</v>
      </c>
      <c r="C152" s="92">
        <v>1917</v>
      </c>
      <c r="D152" s="95">
        <v>1965</v>
      </c>
      <c r="E152" s="92" t="s">
        <v>465</v>
      </c>
      <c r="F152" s="95">
        <v>2</v>
      </c>
      <c r="G152" s="95">
        <v>1</v>
      </c>
      <c r="H152" s="97">
        <v>272.54</v>
      </c>
      <c r="I152" s="97">
        <v>272.54</v>
      </c>
      <c r="J152" s="97">
        <v>190.52</v>
      </c>
      <c r="K152" s="96">
        <v>22</v>
      </c>
      <c r="L152" s="97">
        <f>'виды работ  (2)'!C151</f>
        <v>234620</v>
      </c>
      <c r="M152" s="97">
        <v>0</v>
      </c>
      <c r="N152" s="97">
        <v>0</v>
      </c>
      <c r="O152" s="97">
        <v>0</v>
      </c>
      <c r="P152" s="97">
        <f t="shared" si="26"/>
        <v>234620</v>
      </c>
      <c r="Q152" s="97">
        <f t="shared" si="27"/>
        <v>860.8644602627137</v>
      </c>
      <c r="R152" s="97">
        <v>42000</v>
      </c>
      <c r="S152" s="55" t="s">
        <v>843</v>
      </c>
      <c r="T152" s="92" t="s">
        <v>773</v>
      </c>
      <c r="X152" s="190"/>
    </row>
    <row r="153" spans="1:24" s="186" customFormat="1" ht="15">
      <c r="A153" s="197">
        <f t="shared" si="28"/>
        <v>106</v>
      </c>
      <c r="B153" s="13" t="s">
        <v>165</v>
      </c>
      <c r="C153" s="92">
        <v>1917</v>
      </c>
      <c r="D153" s="95">
        <v>1972</v>
      </c>
      <c r="E153" s="92" t="s">
        <v>465</v>
      </c>
      <c r="F153" s="95">
        <v>2</v>
      </c>
      <c r="G153" s="95">
        <v>2</v>
      </c>
      <c r="H153" s="97">
        <v>229.09</v>
      </c>
      <c r="I153" s="97">
        <v>229.09</v>
      </c>
      <c r="J153" s="97">
        <v>119.51</v>
      </c>
      <c r="K153" s="96">
        <v>15</v>
      </c>
      <c r="L153" s="97">
        <f>'виды работ  (2)'!C152</f>
        <v>190571</v>
      </c>
      <c r="M153" s="97">
        <v>0</v>
      </c>
      <c r="N153" s="97">
        <v>0</v>
      </c>
      <c r="O153" s="97">
        <v>0</v>
      </c>
      <c r="P153" s="97">
        <f t="shared" si="26"/>
        <v>190571</v>
      </c>
      <c r="Q153" s="97">
        <f t="shared" si="27"/>
        <v>831.8608407176218</v>
      </c>
      <c r="R153" s="97">
        <v>42000</v>
      </c>
      <c r="S153" s="55" t="s">
        <v>843</v>
      </c>
      <c r="T153" s="92" t="s">
        <v>773</v>
      </c>
      <c r="X153" s="190"/>
    </row>
    <row r="154" spans="1:24" s="186" customFormat="1" ht="15">
      <c r="A154" s="197">
        <f t="shared" si="28"/>
        <v>107</v>
      </c>
      <c r="B154" s="13" t="s">
        <v>166</v>
      </c>
      <c r="C154" s="92">
        <v>1959</v>
      </c>
      <c r="D154" s="95"/>
      <c r="E154" s="92" t="s">
        <v>465</v>
      </c>
      <c r="F154" s="95">
        <v>2</v>
      </c>
      <c r="G154" s="95">
        <v>1</v>
      </c>
      <c r="H154" s="97">
        <v>307.7</v>
      </c>
      <c r="I154" s="97">
        <v>307.7</v>
      </c>
      <c r="J154" s="97">
        <v>205.2</v>
      </c>
      <c r="K154" s="96">
        <v>20</v>
      </c>
      <c r="L154" s="97">
        <f>'виды работ  (2)'!C153</f>
        <v>144895</v>
      </c>
      <c r="M154" s="97">
        <v>0</v>
      </c>
      <c r="N154" s="97">
        <v>0</v>
      </c>
      <c r="O154" s="97">
        <v>0</v>
      </c>
      <c r="P154" s="97">
        <f t="shared" si="26"/>
        <v>144895</v>
      </c>
      <c r="Q154" s="97">
        <f t="shared" si="27"/>
        <v>470.89697757556064</v>
      </c>
      <c r="R154" s="97">
        <v>42000</v>
      </c>
      <c r="S154" s="55" t="s">
        <v>843</v>
      </c>
      <c r="T154" s="92" t="s">
        <v>773</v>
      </c>
      <c r="X154" s="190"/>
    </row>
    <row r="155" spans="1:24" s="186" customFormat="1" ht="15">
      <c r="A155" s="197">
        <f t="shared" si="28"/>
        <v>108</v>
      </c>
      <c r="B155" s="13" t="s">
        <v>167</v>
      </c>
      <c r="C155" s="92">
        <v>1959</v>
      </c>
      <c r="D155" s="95"/>
      <c r="E155" s="92" t="s">
        <v>465</v>
      </c>
      <c r="F155" s="95">
        <v>2</v>
      </c>
      <c r="G155" s="95">
        <v>1</v>
      </c>
      <c r="H155" s="97">
        <v>326.42</v>
      </c>
      <c r="I155" s="97">
        <v>326.42</v>
      </c>
      <c r="J155" s="97">
        <v>217.3</v>
      </c>
      <c r="K155" s="96">
        <v>22</v>
      </c>
      <c r="L155" s="97">
        <f>'виды работ  (2)'!C154</f>
        <v>75022</v>
      </c>
      <c r="M155" s="97">
        <v>0</v>
      </c>
      <c r="N155" s="97">
        <v>0</v>
      </c>
      <c r="O155" s="97">
        <v>0</v>
      </c>
      <c r="P155" s="97">
        <f t="shared" si="26"/>
        <v>75022</v>
      </c>
      <c r="Q155" s="97">
        <f t="shared" si="27"/>
        <v>229.8327308375712</v>
      </c>
      <c r="R155" s="97">
        <v>42000</v>
      </c>
      <c r="S155" s="55" t="s">
        <v>843</v>
      </c>
      <c r="T155" s="92" t="s">
        <v>773</v>
      </c>
      <c r="X155" s="190"/>
    </row>
    <row r="156" spans="1:24" s="186" customFormat="1" ht="15">
      <c r="A156" s="197">
        <f t="shared" si="28"/>
        <v>109</v>
      </c>
      <c r="B156" s="13" t="s">
        <v>168</v>
      </c>
      <c r="C156" s="92">
        <v>1959</v>
      </c>
      <c r="D156" s="95"/>
      <c r="E156" s="92" t="s">
        <v>465</v>
      </c>
      <c r="F156" s="95">
        <v>2</v>
      </c>
      <c r="G156" s="95">
        <v>1</v>
      </c>
      <c r="H156" s="97">
        <v>329.7</v>
      </c>
      <c r="I156" s="97">
        <v>329.7</v>
      </c>
      <c r="J156" s="97">
        <v>222.8</v>
      </c>
      <c r="K156" s="96">
        <v>22</v>
      </c>
      <c r="L156" s="97">
        <f>'виды работ  (2)'!C155</f>
        <v>77927</v>
      </c>
      <c r="M156" s="97">
        <v>0</v>
      </c>
      <c r="N156" s="97">
        <v>0</v>
      </c>
      <c r="O156" s="97">
        <v>0</v>
      </c>
      <c r="P156" s="97">
        <f t="shared" si="26"/>
        <v>77927</v>
      </c>
      <c r="Q156" s="97">
        <f t="shared" si="27"/>
        <v>236.35729451016076</v>
      </c>
      <c r="R156" s="97">
        <v>42000</v>
      </c>
      <c r="S156" s="55" t="s">
        <v>843</v>
      </c>
      <c r="T156" s="92" t="s">
        <v>773</v>
      </c>
      <c r="X156" s="190"/>
    </row>
    <row r="157" spans="1:24" s="186" customFormat="1" ht="15">
      <c r="A157" s="197">
        <f t="shared" si="28"/>
        <v>110</v>
      </c>
      <c r="B157" s="13" t="s">
        <v>169</v>
      </c>
      <c r="C157" s="92">
        <v>1959</v>
      </c>
      <c r="D157" s="95"/>
      <c r="E157" s="92" t="s">
        <v>465</v>
      </c>
      <c r="F157" s="95">
        <v>2</v>
      </c>
      <c r="G157" s="95">
        <v>1</v>
      </c>
      <c r="H157" s="97">
        <v>328.1</v>
      </c>
      <c r="I157" s="97">
        <v>328.1</v>
      </c>
      <c r="J157" s="97">
        <v>227.2</v>
      </c>
      <c r="K157" s="96">
        <v>26</v>
      </c>
      <c r="L157" s="97">
        <f>'виды работ  (2)'!C156</f>
        <v>79566</v>
      </c>
      <c r="M157" s="97">
        <v>0</v>
      </c>
      <c r="N157" s="97">
        <v>0</v>
      </c>
      <c r="O157" s="97">
        <v>0</v>
      </c>
      <c r="P157" s="97">
        <f t="shared" si="26"/>
        <v>79566</v>
      </c>
      <c r="Q157" s="97">
        <f t="shared" si="27"/>
        <v>242.50533373971348</v>
      </c>
      <c r="R157" s="97">
        <v>42000</v>
      </c>
      <c r="S157" s="55" t="s">
        <v>843</v>
      </c>
      <c r="T157" s="92" t="s">
        <v>773</v>
      </c>
      <c r="X157" s="190"/>
    </row>
    <row r="158" spans="1:24" s="186" customFormat="1" ht="15">
      <c r="A158" s="197">
        <f t="shared" si="28"/>
        <v>111</v>
      </c>
      <c r="B158" s="13" t="s">
        <v>170</v>
      </c>
      <c r="C158" s="92">
        <v>1959</v>
      </c>
      <c r="D158" s="95"/>
      <c r="E158" s="92" t="s">
        <v>465</v>
      </c>
      <c r="F158" s="95">
        <v>2</v>
      </c>
      <c r="G158" s="95">
        <v>1</v>
      </c>
      <c r="H158" s="97">
        <v>320.6</v>
      </c>
      <c r="I158" s="97">
        <v>320.6</v>
      </c>
      <c r="J158" s="97">
        <v>217.7</v>
      </c>
      <c r="K158" s="96">
        <v>29</v>
      </c>
      <c r="L158" s="97">
        <f>'виды работ  (2)'!C157</f>
        <v>77177</v>
      </c>
      <c r="M158" s="97">
        <v>0</v>
      </c>
      <c r="N158" s="97">
        <v>0</v>
      </c>
      <c r="O158" s="97">
        <v>0</v>
      </c>
      <c r="P158" s="97">
        <f t="shared" si="26"/>
        <v>77177</v>
      </c>
      <c r="Q158" s="97">
        <f t="shared" si="27"/>
        <v>240.72676232064876</v>
      </c>
      <c r="R158" s="97">
        <v>42000</v>
      </c>
      <c r="S158" s="55" t="s">
        <v>843</v>
      </c>
      <c r="T158" s="92" t="s">
        <v>773</v>
      </c>
      <c r="X158" s="190"/>
    </row>
    <row r="159" spans="1:24" s="186" customFormat="1" ht="15">
      <c r="A159" s="197">
        <f t="shared" si="28"/>
        <v>112</v>
      </c>
      <c r="B159" s="13" t="s">
        <v>171</v>
      </c>
      <c r="C159" s="92">
        <v>1964</v>
      </c>
      <c r="D159" s="95">
        <v>1988</v>
      </c>
      <c r="E159" s="92" t="s">
        <v>94</v>
      </c>
      <c r="F159" s="95">
        <v>2</v>
      </c>
      <c r="G159" s="95">
        <v>2</v>
      </c>
      <c r="H159" s="97">
        <v>372.7</v>
      </c>
      <c r="I159" s="97">
        <v>372.7</v>
      </c>
      <c r="J159" s="97">
        <v>251.8</v>
      </c>
      <c r="K159" s="96">
        <v>17</v>
      </c>
      <c r="L159" s="97">
        <f>'виды работ  (2)'!C158</f>
        <v>1485606</v>
      </c>
      <c r="M159" s="97">
        <v>0</v>
      </c>
      <c r="N159" s="97">
        <v>0</v>
      </c>
      <c r="O159" s="97">
        <v>0</v>
      </c>
      <c r="P159" s="97">
        <f t="shared" si="26"/>
        <v>1485606</v>
      </c>
      <c r="Q159" s="97">
        <f t="shared" si="27"/>
        <v>3986.0638583310974</v>
      </c>
      <c r="R159" s="97">
        <v>42000</v>
      </c>
      <c r="S159" s="55" t="s">
        <v>843</v>
      </c>
      <c r="T159" s="92" t="s">
        <v>773</v>
      </c>
      <c r="X159" s="190"/>
    </row>
    <row r="160" spans="1:24" s="186" customFormat="1" ht="15">
      <c r="A160" s="197">
        <f t="shared" si="28"/>
        <v>113</v>
      </c>
      <c r="B160" s="13" t="s">
        <v>172</v>
      </c>
      <c r="C160" s="92">
        <v>1967</v>
      </c>
      <c r="D160" s="95"/>
      <c r="E160" s="92" t="s">
        <v>94</v>
      </c>
      <c r="F160" s="95">
        <v>2</v>
      </c>
      <c r="G160" s="95">
        <v>2</v>
      </c>
      <c r="H160" s="97">
        <v>523.3</v>
      </c>
      <c r="I160" s="97">
        <v>523.3</v>
      </c>
      <c r="J160" s="97">
        <v>396.4</v>
      </c>
      <c r="K160" s="96">
        <v>22</v>
      </c>
      <c r="L160" s="97">
        <f>'виды работ  (2)'!C159</f>
        <v>1474567</v>
      </c>
      <c r="M160" s="97">
        <v>0</v>
      </c>
      <c r="N160" s="97">
        <v>0</v>
      </c>
      <c r="O160" s="97">
        <v>0</v>
      </c>
      <c r="P160" s="97">
        <f t="shared" si="26"/>
        <v>1474567</v>
      </c>
      <c r="Q160" s="97">
        <f t="shared" si="27"/>
        <v>2817.8234282438375</v>
      </c>
      <c r="R160" s="97">
        <v>42000</v>
      </c>
      <c r="S160" s="55" t="s">
        <v>843</v>
      </c>
      <c r="T160" s="92" t="s">
        <v>773</v>
      </c>
      <c r="X160" s="190"/>
    </row>
    <row r="161" spans="1:24" s="186" customFormat="1" ht="15">
      <c r="A161" s="197">
        <f aca="true" t="shared" si="29" ref="A161:A171">A160+1</f>
        <v>114</v>
      </c>
      <c r="B161" s="13" t="s">
        <v>173</v>
      </c>
      <c r="C161" s="92">
        <v>1917</v>
      </c>
      <c r="D161" s="95">
        <v>1978</v>
      </c>
      <c r="E161" s="92" t="s">
        <v>465</v>
      </c>
      <c r="F161" s="95">
        <v>2</v>
      </c>
      <c r="G161" s="95">
        <v>1</v>
      </c>
      <c r="H161" s="97">
        <v>244.31</v>
      </c>
      <c r="I161" s="97">
        <v>244.31</v>
      </c>
      <c r="J161" s="97">
        <v>153.07</v>
      </c>
      <c r="K161" s="96">
        <v>17</v>
      </c>
      <c r="L161" s="97">
        <f>'виды работ  (2)'!C160</f>
        <v>274025</v>
      </c>
      <c r="M161" s="97">
        <v>0</v>
      </c>
      <c r="N161" s="97">
        <v>0</v>
      </c>
      <c r="O161" s="97">
        <v>0</v>
      </c>
      <c r="P161" s="97">
        <f t="shared" si="26"/>
        <v>274025</v>
      </c>
      <c r="Q161" s="97">
        <f t="shared" si="27"/>
        <v>1121.628259178912</v>
      </c>
      <c r="R161" s="97">
        <v>42000</v>
      </c>
      <c r="S161" s="55" t="s">
        <v>843</v>
      </c>
      <c r="T161" s="92" t="s">
        <v>773</v>
      </c>
      <c r="X161" s="190"/>
    </row>
    <row r="162" spans="1:24" s="186" customFormat="1" ht="15">
      <c r="A162" s="197">
        <f t="shared" si="29"/>
        <v>115</v>
      </c>
      <c r="B162" s="13" t="s">
        <v>174</v>
      </c>
      <c r="C162" s="92">
        <v>1958</v>
      </c>
      <c r="D162" s="95"/>
      <c r="E162" s="92" t="s">
        <v>94</v>
      </c>
      <c r="F162" s="95">
        <v>2</v>
      </c>
      <c r="G162" s="95">
        <v>1</v>
      </c>
      <c r="H162" s="97">
        <v>388.81</v>
      </c>
      <c r="I162" s="97">
        <v>388.81</v>
      </c>
      <c r="J162" s="97">
        <v>248.47</v>
      </c>
      <c r="K162" s="96">
        <v>19</v>
      </c>
      <c r="L162" s="97">
        <f>'виды работ  (2)'!C161</f>
        <v>1965487</v>
      </c>
      <c r="M162" s="97">
        <v>0</v>
      </c>
      <c r="N162" s="97">
        <v>0</v>
      </c>
      <c r="O162" s="97">
        <v>0</v>
      </c>
      <c r="P162" s="97">
        <f t="shared" si="26"/>
        <v>1965487</v>
      </c>
      <c r="Q162" s="97">
        <f t="shared" si="27"/>
        <v>5055.134898793755</v>
      </c>
      <c r="R162" s="97">
        <v>42000</v>
      </c>
      <c r="S162" s="55" t="s">
        <v>843</v>
      </c>
      <c r="T162" s="92" t="s">
        <v>773</v>
      </c>
      <c r="X162" s="190"/>
    </row>
    <row r="163" spans="1:24" s="186" customFormat="1" ht="15">
      <c r="A163" s="197">
        <f t="shared" si="29"/>
        <v>116</v>
      </c>
      <c r="B163" s="13" t="s">
        <v>175</v>
      </c>
      <c r="C163" s="92">
        <v>1958</v>
      </c>
      <c r="D163" s="95"/>
      <c r="E163" s="92" t="s">
        <v>465</v>
      </c>
      <c r="F163" s="95">
        <v>2</v>
      </c>
      <c r="G163" s="95">
        <v>1</v>
      </c>
      <c r="H163" s="97">
        <v>396.74</v>
      </c>
      <c r="I163" s="97">
        <v>396.74</v>
      </c>
      <c r="J163" s="97">
        <v>268.68</v>
      </c>
      <c r="K163" s="96">
        <v>32</v>
      </c>
      <c r="L163" s="97">
        <f>'виды работ  (2)'!C162</f>
        <v>87577</v>
      </c>
      <c r="M163" s="97">
        <v>0</v>
      </c>
      <c r="N163" s="97">
        <v>0</v>
      </c>
      <c r="O163" s="97">
        <v>0</v>
      </c>
      <c r="P163" s="97">
        <f aca="true" t="shared" si="30" ref="P163:P171">L163</f>
        <v>87577</v>
      </c>
      <c r="Q163" s="97">
        <f aca="true" t="shared" si="31" ref="Q163:Q170">L163/H163</f>
        <v>220.74154358017844</v>
      </c>
      <c r="R163" s="97">
        <v>42000</v>
      </c>
      <c r="S163" s="55" t="s">
        <v>843</v>
      </c>
      <c r="T163" s="92" t="s">
        <v>773</v>
      </c>
      <c r="X163" s="190"/>
    </row>
    <row r="164" spans="1:24" s="186" customFormat="1" ht="15">
      <c r="A164" s="197">
        <f t="shared" si="29"/>
        <v>117</v>
      </c>
      <c r="B164" s="13" t="s">
        <v>176</v>
      </c>
      <c r="C164" s="92">
        <v>1917</v>
      </c>
      <c r="D164" s="95">
        <v>1966</v>
      </c>
      <c r="E164" s="92" t="s">
        <v>465</v>
      </c>
      <c r="F164" s="95">
        <v>2</v>
      </c>
      <c r="G164" s="95">
        <v>1</v>
      </c>
      <c r="H164" s="97">
        <v>233.1</v>
      </c>
      <c r="I164" s="97">
        <v>233.1</v>
      </c>
      <c r="J164" s="97">
        <v>173.21</v>
      </c>
      <c r="K164" s="96">
        <v>18</v>
      </c>
      <c r="L164" s="97">
        <f>'виды работ  (2)'!C163</f>
        <v>174764</v>
      </c>
      <c r="M164" s="97">
        <v>0</v>
      </c>
      <c r="N164" s="97">
        <v>0</v>
      </c>
      <c r="O164" s="97">
        <v>0</v>
      </c>
      <c r="P164" s="97">
        <f t="shared" si="30"/>
        <v>174764</v>
      </c>
      <c r="Q164" s="97">
        <f t="shared" si="31"/>
        <v>749.7383097383098</v>
      </c>
      <c r="R164" s="97">
        <v>42000</v>
      </c>
      <c r="S164" s="55" t="s">
        <v>843</v>
      </c>
      <c r="T164" s="92" t="s">
        <v>773</v>
      </c>
      <c r="X164" s="190"/>
    </row>
    <row r="165" spans="1:24" s="186" customFormat="1" ht="15">
      <c r="A165" s="197">
        <f t="shared" si="29"/>
        <v>118</v>
      </c>
      <c r="B165" s="13" t="s">
        <v>177</v>
      </c>
      <c r="C165" s="92">
        <v>1961</v>
      </c>
      <c r="D165" s="95">
        <v>1988</v>
      </c>
      <c r="E165" s="92" t="s">
        <v>94</v>
      </c>
      <c r="F165" s="95">
        <v>2</v>
      </c>
      <c r="G165" s="95">
        <v>2</v>
      </c>
      <c r="H165" s="97">
        <v>787</v>
      </c>
      <c r="I165" s="97">
        <v>787</v>
      </c>
      <c r="J165" s="97">
        <v>406.6</v>
      </c>
      <c r="K165" s="96">
        <v>41</v>
      </c>
      <c r="L165" s="97">
        <f>'виды работ  (2)'!C164</f>
        <v>94218</v>
      </c>
      <c r="M165" s="97">
        <v>0</v>
      </c>
      <c r="N165" s="97">
        <v>0</v>
      </c>
      <c r="O165" s="97">
        <v>0</v>
      </c>
      <c r="P165" s="97">
        <f t="shared" si="30"/>
        <v>94218</v>
      </c>
      <c r="Q165" s="97">
        <f t="shared" si="31"/>
        <v>119.71791613722999</v>
      </c>
      <c r="R165" s="97">
        <v>42000</v>
      </c>
      <c r="S165" s="55" t="s">
        <v>843</v>
      </c>
      <c r="T165" s="92" t="s">
        <v>773</v>
      </c>
      <c r="X165" s="190"/>
    </row>
    <row r="166" spans="1:24" s="186" customFormat="1" ht="15">
      <c r="A166" s="197">
        <f t="shared" si="29"/>
        <v>119</v>
      </c>
      <c r="B166" s="13" t="s">
        <v>178</v>
      </c>
      <c r="C166" s="92">
        <v>1962</v>
      </c>
      <c r="D166" s="95">
        <v>1994</v>
      </c>
      <c r="E166" s="92" t="s">
        <v>94</v>
      </c>
      <c r="F166" s="95">
        <v>2</v>
      </c>
      <c r="G166" s="95">
        <v>2</v>
      </c>
      <c r="H166" s="97">
        <v>777.7</v>
      </c>
      <c r="I166" s="97">
        <v>777.7</v>
      </c>
      <c r="J166" s="97">
        <v>319.7</v>
      </c>
      <c r="K166" s="96">
        <v>29</v>
      </c>
      <c r="L166" s="97">
        <f>'виды работ  (2)'!C165</f>
        <v>95285</v>
      </c>
      <c r="M166" s="97">
        <v>0</v>
      </c>
      <c r="N166" s="97">
        <v>0</v>
      </c>
      <c r="O166" s="97">
        <v>0</v>
      </c>
      <c r="P166" s="97">
        <f t="shared" si="30"/>
        <v>95285</v>
      </c>
      <c r="Q166" s="97">
        <f t="shared" si="31"/>
        <v>122.52153786807251</v>
      </c>
      <c r="R166" s="97">
        <v>42000</v>
      </c>
      <c r="S166" s="55" t="s">
        <v>843</v>
      </c>
      <c r="T166" s="92" t="s">
        <v>773</v>
      </c>
      <c r="X166" s="190"/>
    </row>
    <row r="167" spans="1:24" s="186" customFormat="1" ht="15">
      <c r="A167" s="197">
        <f t="shared" si="29"/>
        <v>120</v>
      </c>
      <c r="B167" s="13" t="s">
        <v>179</v>
      </c>
      <c r="C167" s="92">
        <v>1959</v>
      </c>
      <c r="D167" s="95"/>
      <c r="E167" s="92" t="s">
        <v>94</v>
      </c>
      <c r="F167" s="95">
        <v>2</v>
      </c>
      <c r="G167" s="95">
        <v>2</v>
      </c>
      <c r="H167" s="97">
        <v>486.03</v>
      </c>
      <c r="I167" s="97">
        <v>486.03</v>
      </c>
      <c r="J167" s="97">
        <v>322.13</v>
      </c>
      <c r="K167" s="96">
        <v>16</v>
      </c>
      <c r="L167" s="97">
        <f>'виды работ  (2)'!C166</f>
        <v>85245</v>
      </c>
      <c r="M167" s="97">
        <v>0</v>
      </c>
      <c r="N167" s="97">
        <v>0</v>
      </c>
      <c r="O167" s="97">
        <v>0</v>
      </c>
      <c r="P167" s="97">
        <f t="shared" si="30"/>
        <v>85245</v>
      </c>
      <c r="Q167" s="97">
        <f t="shared" si="31"/>
        <v>175.3904079995062</v>
      </c>
      <c r="R167" s="97">
        <v>42000</v>
      </c>
      <c r="S167" s="55" t="s">
        <v>843</v>
      </c>
      <c r="T167" s="92" t="s">
        <v>773</v>
      </c>
      <c r="X167" s="190"/>
    </row>
    <row r="168" spans="1:24" s="186" customFormat="1" ht="15">
      <c r="A168" s="197">
        <f t="shared" si="29"/>
        <v>121</v>
      </c>
      <c r="B168" s="13" t="s">
        <v>180</v>
      </c>
      <c r="C168" s="92">
        <v>1917</v>
      </c>
      <c r="D168" s="95"/>
      <c r="E168" s="92" t="s">
        <v>465</v>
      </c>
      <c r="F168" s="95">
        <v>2</v>
      </c>
      <c r="G168" s="95">
        <v>2</v>
      </c>
      <c r="H168" s="97">
        <v>160.64</v>
      </c>
      <c r="I168" s="97">
        <v>160.64</v>
      </c>
      <c r="J168" s="97">
        <v>107.72</v>
      </c>
      <c r="K168" s="96">
        <v>5</v>
      </c>
      <c r="L168" s="97">
        <f>'виды работ  (2)'!C167</f>
        <v>259854</v>
      </c>
      <c r="M168" s="97">
        <v>0</v>
      </c>
      <c r="N168" s="97">
        <v>0</v>
      </c>
      <c r="O168" s="97">
        <v>0</v>
      </c>
      <c r="P168" s="97">
        <f t="shared" si="30"/>
        <v>259854</v>
      </c>
      <c r="Q168" s="97">
        <f t="shared" si="31"/>
        <v>1617.61703187251</v>
      </c>
      <c r="R168" s="97">
        <v>42000</v>
      </c>
      <c r="S168" s="55" t="s">
        <v>843</v>
      </c>
      <c r="T168" s="92" t="s">
        <v>773</v>
      </c>
      <c r="X168" s="190"/>
    </row>
    <row r="169" spans="1:24" s="186" customFormat="1" ht="15">
      <c r="A169" s="197">
        <f t="shared" si="29"/>
        <v>122</v>
      </c>
      <c r="B169" s="13" t="s">
        <v>181</v>
      </c>
      <c r="C169" s="92">
        <v>1958</v>
      </c>
      <c r="D169" s="95">
        <v>1979</v>
      </c>
      <c r="E169" s="92" t="s">
        <v>465</v>
      </c>
      <c r="F169" s="95">
        <v>2</v>
      </c>
      <c r="G169" s="95">
        <v>2</v>
      </c>
      <c r="H169" s="97">
        <v>762.2</v>
      </c>
      <c r="I169" s="97">
        <v>762.2</v>
      </c>
      <c r="J169" s="97">
        <v>522.3</v>
      </c>
      <c r="K169" s="96">
        <v>24</v>
      </c>
      <c r="L169" s="97">
        <f>'виды работ  (2)'!C168</f>
        <v>112434</v>
      </c>
      <c r="M169" s="97">
        <v>0</v>
      </c>
      <c r="N169" s="97">
        <v>0</v>
      </c>
      <c r="O169" s="97">
        <v>0</v>
      </c>
      <c r="P169" s="97">
        <f t="shared" si="30"/>
        <v>112434</v>
      </c>
      <c r="Q169" s="97">
        <f t="shared" si="31"/>
        <v>147.5124639202309</v>
      </c>
      <c r="R169" s="97">
        <v>42000</v>
      </c>
      <c r="S169" s="55" t="s">
        <v>843</v>
      </c>
      <c r="T169" s="92" t="s">
        <v>773</v>
      </c>
      <c r="X169" s="190"/>
    </row>
    <row r="170" spans="1:24" s="186" customFormat="1" ht="15">
      <c r="A170" s="197">
        <f t="shared" si="29"/>
        <v>123</v>
      </c>
      <c r="B170" s="13" t="s">
        <v>182</v>
      </c>
      <c r="C170" s="92">
        <v>1917</v>
      </c>
      <c r="D170" s="95">
        <v>1962</v>
      </c>
      <c r="E170" s="92" t="s">
        <v>465</v>
      </c>
      <c r="F170" s="95">
        <v>2</v>
      </c>
      <c r="G170" s="95">
        <v>2</v>
      </c>
      <c r="H170" s="97">
        <v>232.37</v>
      </c>
      <c r="I170" s="97">
        <v>232.37</v>
      </c>
      <c r="J170" s="97">
        <v>137.04</v>
      </c>
      <c r="K170" s="96">
        <v>13</v>
      </c>
      <c r="L170" s="97">
        <f>'виды работ  (2)'!C169</f>
        <v>208345</v>
      </c>
      <c r="M170" s="97">
        <v>0</v>
      </c>
      <c r="N170" s="97">
        <v>0</v>
      </c>
      <c r="O170" s="97">
        <v>0</v>
      </c>
      <c r="P170" s="97">
        <f t="shared" si="30"/>
        <v>208345</v>
      </c>
      <c r="Q170" s="97">
        <f t="shared" si="31"/>
        <v>896.608856564961</v>
      </c>
      <c r="R170" s="97">
        <v>42000</v>
      </c>
      <c r="S170" s="55" t="s">
        <v>843</v>
      </c>
      <c r="T170" s="92" t="s">
        <v>773</v>
      </c>
      <c r="X170" s="190"/>
    </row>
    <row r="171" spans="1:24" s="186" customFormat="1" ht="15">
      <c r="A171" s="197">
        <f t="shared" si="29"/>
        <v>124</v>
      </c>
      <c r="B171" s="13" t="s">
        <v>183</v>
      </c>
      <c r="C171" s="92">
        <v>1917</v>
      </c>
      <c r="D171" s="95">
        <v>1991</v>
      </c>
      <c r="E171" s="92" t="s">
        <v>465</v>
      </c>
      <c r="F171" s="95">
        <v>2</v>
      </c>
      <c r="G171" s="95">
        <v>1</v>
      </c>
      <c r="H171" s="97">
        <v>241.9</v>
      </c>
      <c r="I171" s="97">
        <v>241.9</v>
      </c>
      <c r="J171" s="97">
        <v>108.3</v>
      </c>
      <c r="K171" s="96">
        <v>8</v>
      </c>
      <c r="L171" s="97">
        <f>'виды работ  (2)'!C170</f>
        <v>216430</v>
      </c>
      <c r="M171" s="97">
        <v>0</v>
      </c>
      <c r="N171" s="97">
        <v>0</v>
      </c>
      <c r="O171" s="97">
        <v>0</v>
      </c>
      <c r="P171" s="97">
        <f t="shared" si="30"/>
        <v>216430</v>
      </c>
      <c r="Q171" s="97">
        <f>L171/H171</f>
        <v>894.7085572550641</v>
      </c>
      <c r="R171" s="97">
        <v>42000</v>
      </c>
      <c r="S171" s="55" t="s">
        <v>843</v>
      </c>
      <c r="T171" s="92" t="s">
        <v>773</v>
      </c>
      <c r="X171" s="190"/>
    </row>
    <row r="172" spans="1:24" s="186" customFormat="1" ht="15">
      <c r="A172" s="117" t="s">
        <v>597</v>
      </c>
      <c r="B172" s="117"/>
      <c r="C172" s="86" t="s">
        <v>430</v>
      </c>
      <c r="D172" s="86" t="s">
        <v>430</v>
      </c>
      <c r="E172" s="86" t="s">
        <v>430</v>
      </c>
      <c r="F172" s="86" t="s">
        <v>430</v>
      </c>
      <c r="G172" s="86" t="s">
        <v>430</v>
      </c>
      <c r="H172" s="97">
        <f aca="true" t="shared" si="32" ref="H172:P172">SUM(H99:H171)</f>
        <v>32122.695</v>
      </c>
      <c r="I172" s="97">
        <f t="shared" si="32"/>
        <v>32122.69</v>
      </c>
      <c r="J172" s="97">
        <f t="shared" si="32"/>
        <v>20204.8</v>
      </c>
      <c r="K172" s="96">
        <f t="shared" si="32"/>
        <v>1626</v>
      </c>
      <c r="L172" s="97">
        <f t="shared" si="32"/>
        <v>17619632</v>
      </c>
      <c r="M172" s="97">
        <f t="shared" si="32"/>
        <v>0</v>
      </c>
      <c r="N172" s="97">
        <f t="shared" si="32"/>
        <v>0</v>
      </c>
      <c r="O172" s="97">
        <f t="shared" si="32"/>
        <v>0</v>
      </c>
      <c r="P172" s="97">
        <f t="shared" si="32"/>
        <v>17619632</v>
      </c>
      <c r="Q172" s="97">
        <f>L172/H172</f>
        <v>548.5103911735924</v>
      </c>
      <c r="R172" s="56" t="s">
        <v>430</v>
      </c>
      <c r="S172" s="56" t="s">
        <v>430</v>
      </c>
      <c r="T172" s="56" t="s">
        <v>430</v>
      </c>
      <c r="U172" s="190"/>
      <c r="X172" s="190"/>
    </row>
    <row r="173" spans="1:24" s="186" customFormat="1" ht="15" customHeight="1">
      <c r="A173" s="123" t="s">
        <v>679</v>
      </c>
      <c r="B173" s="123"/>
      <c r="C173" s="123"/>
      <c r="D173" s="123"/>
      <c r="E173" s="123"/>
      <c r="F173" s="178"/>
      <c r="G173" s="178"/>
      <c r="H173" s="178"/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  <c r="T173" s="178"/>
      <c r="X173" s="190"/>
    </row>
    <row r="174" spans="1:24" s="186" customFormat="1" ht="19.5" customHeight="1">
      <c r="A174" s="10">
        <f>A171+1</f>
        <v>125</v>
      </c>
      <c r="B174" s="49" t="s">
        <v>814</v>
      </c>
      <c r="C174" s="92">
        <v>1960</v>
      </c>
      <c r="D174" s="95"/>
      <c r="E174" s="92" t="s">
        <v>94</v>
      </c>
      <c r="F174" s="95">
        <v>2</v>
      </c>
      <c r="G174" s="95">
        <v>2</v>
      </c>
      <c r="H174" s="97">
        <v>634.16</v>
      </c>
      <c r="I174" s="97">
        <v>634.16</v>
      </c>
      <c r="J174" s="97">
        <v>451.09</v>
      </c>
      <c r="K174" s="96">
        <v>18</v>
      </c>
      <c r="L174" s="97">
        <f>'виды работ  (2)'!C173</f>
        <v>304480</v>
      </c>
      <c r="M174" s="97">
        <v>0</v>
      </c>
      <c r="N174" s="97">
        <v>0</v>
      </c>
      <c r="O174" s="97">
        <v>0</v>
      </c>
      <c r="P174" s="97">
        <f>L174</f>
        <v>304480</v>
      </c>
      <c r="Q174" s="97">
        <f>L174/H174</f>
        <v>480.1311971742147</v>
      </c>
      <c r="R174" s="97">
        <v>42000</v>
      </c>
      <c r="S174" s="55" t="s">
        <v>843</v>
      </c>
      <c r="T174" s="92" t="s">
        <v>773</v>
      </c>
      <c r="X174" s="190"/>
    </row>
    <row r="175" spans="1:24" s="186" customFormat="1" ht="19.5" customHeight="1">
      <c r="A175" s="10">
        <f>A174+1</f>
        <v>126</v>
      </c>
      <c r="B175" s="13" t="s">
        <v>193</v>
      </c>
      <c r="C175" s="92">
        <v>1960</v>
      </c>
      <c r="D175" s="95"/>
      <c r="E175" s="92" t="s">
        <v>94</v>
      </c>
      <c r="F175" s="95">
        <v>2</v>
      </c>
      <c r="G175" s="95">
        <v>2</v>
      </c>
      <c r="H175" s="97">
        <v>625.08</v>
      </c>
      <c r="I175" s="97">
        <v>625.08</v>
      </c>
      <c r="J175" s="97">
        <v>571.9</v>
      </c>
      <c r="K175" s="96">
        <v>15</v>
      </c>
      <c r="L175" s="97">
        <f>'виды работ  (2)'!C174</f>
        <v>302185</v>
      </c>
      <c r="M175" s="97">
        <v>0</v>
      </c>
      <c r="N175" s="97">
        <v>0</v>
      </c>
      <c r="O175" s="97">
        <v>0</v>
      </c>
      <c r="P175" s="97">
        <f aca="true" t="shared" si="33" ref="P175:P182">L175</f>
        <v>302185</v>
      </c>
      <c r="Q175" s="97">
        <f aca="true" t="shared" si="34" ref="Q175:Q183">L175/H175</f>
        <v>483.4341204325846</v>
      </c>
      <c r="R175" s="97">
        <v>42000</v>
      </c>
      <c r="S175" s="55" t="s">
        <v>843</v>
      </c>
      <c r="T175" s="92" t="s">
        <v>773</v>
      </c>
      <c r="X175" s="190"/>
    </row>
    <row r="176" spans="1:24" s="186" customFormat="1" ht="19.5" customHeight="1">
      <c r="A176" s="10">
        <f aca="true" t="shared" si="35" ref="A176:A182">A175+1</f>
        <v>127</v>
      </c>
      <c r="B176" s="13" t="s">
        <v>186</v>
      </c>
      <c r="C176" s="92">
        <v>1966</v>
      </c>
      <c r="D176" s="95"/>
      <c r="E176" s="92" t="s">
        <v>411</v>
      </c>
      <c r="F176" s="95">
        <v>5</v>
      </c>
      <c r="G176" s="95">
        <v>8</v>
      </c>
      <c r="H176" s="97">
        <v>7087.22</v>
      </c>
      <c r="I176" s="97">
        <v>7087.22</v>
      </c>
      <c r="J176" s="97">
        <v>6095.7</v>
      </c>
      <c r="K176" s="96">
        <v>280</v>
      </c>
      <c r="L176" s="97">
        <f>'виды работ  (2)'!C175</f>
        <v>251237</v>
      </c>
      <c r="M176" s="97">
        <v>0</v>
      </c>
      <c r="N176" s="97">
        <v>0</v>
      </c>
      <c r="O176" s="97">
        <v>0</v>
      </c>
      <c r="P176" s="97">
        <f t="shared" si="33"/>
        <v>251237</v>
      </c>
      <c r="Q176" s="97">
        <f t="shared" si="34"/>
        <v>35.44930170080793</v>
      </c>
      <c r="R176" s="97">
        <v>42000</v>
      </c>
      <c r="S176" s="55" t="s">
        <v>843</v>
      </c>
      <c r="T176" s="92" t="s">
        <v>773</v>
      </c>
      <c r="X176" s="190"/>
    </row>
    <row r="177" spans="1:24" s="186" customFormat="1" ht="19.5" customHeight="1">
      <c r="A177" s="10">
        <f t="shared" si="35"/>
        <v>128</v>
      </c>
      <c r="B177" s="13" t="s">
        <v>187</v>
      </c>
      <c r="C177" s="92">
        <v>1971</v>
      </c>
      <c r="D177" s="95"/>
      <c r="E177" s="92" t="s">
        <v>94</v>
      </c>
      <c r="F177" s="95">
        <v>5</v>
      </c>
      <c r="G177" s="95">
        <v>4</v>
      </c>
      <c r="H177" s="97">
        <v>3565.3</v>
      </c>
      <c r="I177" s="97">
        <v>3565.3</v>
      </c>
      <c r="J177" s="97">
        <v>2941.3</v>
      </c>
      <c r="K177" s="96">
        <v>125</v>
      </c>
      <c r="L177" s="97">
        <f>'виды работ  (2)'!C176</f>
        <v>208327</v>
      </c>
      <c r="M177" s="97">
        <v>0</v>
      </c>
      <c r="N177" s="97">
        <v>0</v>
      </c>
      <c r="O177" s="97">
        <v>0</v>
      </c>
      <c r="P177" s="97">
        <f t="shared" si="33"/>
        <v>208327</v>
      </c>
      <c r="Q177" s="97">
        <f t="shared" si="34"/>
        <v>58.431829018595906</v>
      </c>
      <c r="R177" s="97">
        <v>42000</v>
      </c>
      <c r="S177" s="55" t="s">
        <v>843</v>
      </c>
      <c r="T177" s="92" t="s">
        <v>773</v>
      </c>
      <c r="X177" s="190"/>
    </row>
    <row r="178" spans="1:24" s="186" customFormat="1" ht="19.5" customHeight="1">
      <c r="A178" s="10">
        <f t="shared" si="35"/>
        <v>129</v>
      </c>
      <c r="B178" s="13" t="s">
        <v>189</v>
      </c>
      <c r="C178" s="92">
        <v>1957</v>
      </c>
      <c r="D178" s="92"/>
      <c r="E178" s="92" t="s">
        <v>94</v>
      </c>
      <c r="F178" s="92">
        <v>2</v>
      </c>
      <c r="G178" s="92">
        <v>2</v>
      </c>
      <c r="H178" s="86">
        <v>625</v>
      </c>
      <c r="I178" s="86">
        <v>625</v>
      </c>
      <c r="J178" s="86">
        <v>332.6</v>
      </c>
      <c r="K178" s="10">
        <v>18</v>
      </c>
      <c r="L178" s="97">
        <f>'виды работ  (2)'!C177</f>
        <v>3587945</v>
      </c>
      <c r="M178" s="97">
        <v>0</v>
      </c>
      <c r="N178" s="97">
        <v>0</v>
      </c>
      <c r="O178" s="97">
        <v>0</v>
      </c>
      <c r="P178" s="97">
        <f t="shared" si="33"/>
        <v>3587945</v>
      </c>
      <c r="Q178" s="97">
        <f t="shared" si="34"/>
        <v>5740.712</v>
      </c>
      <c r="R178" s="97">
        <v>42000</v>
      </c>
      <c r="S178" s="55" t="s">
        <v>843</v>
      </c>
      <c r="T178" s="92" t="s">
        <v>773</v>
      </c>
      <c r="X178" s="190"/>
    </row>
    <row r="179" spans="1:24" s="186" customFormat="1" ht="19.5" customHeight="1">
      <c r="A179" s="10">
        <f t="shared" si="35"/>
        <v>130</v>
      </c>
      <c r="B179" s="13" t="s">
        <v>190</v>
      </c>
      <c r="C179" s="92">
        <v>1958</v>
      </c>
      <c r="D179" s="95"/>
      <c r="E179" s="92" t="s">
        <v>94</v>
      </c>
      <c r="F179" s="95">
        <v>2</v>
      </c>
      <c r="G179" s="95">
        <v>2</v>
      </c>
      <c r="H179" s="97">
        <v>729.8</v>
      </c>
      <c r="I179" s="97">
        <v>729.8</v>
      </c>
      <c r="J179" s="97">
        <v>418.7</v>
      </c>
      <c r="K179" s="96">
        <v>33</v>
      </c>
      <c r="L179" s="97">
        <f>'виды работ  (2)'!C178</f>
        <v>4512009</v>
      </c>
      <c r="M179" s="97">
        <v>0</v>
      </c>
      <c r="N179" s="97">
        <v>0</v>
      </c>
      <c r="O179" s="97">
        <v>0</v>
      </c>
      <c r="P179" s="97">
        <f t="shared" si="33"/>
        <v>4512009</v>
      </c>
      <c r="Q179" s="97">
        <f t="shared" si="34"/>
        <v>6182.528089887641</v>
      </c>
      <c r="R179" s="97">
        <v>42000</v>
      </c>
      <c r="S179" s="55" t="s">
        <v>843</v>
      </c>
      <c r="T179" s="92" t="s">
        <v>773</v>
      </c>
      <c r="X179" s="190"/>
    </row>
    <row r="180" spans="1:24" s="186" customFormat="1" ht="19.5" customHeight="1">
      <c r="A180" s="10">
        <f t="shared" si="35"/>
        <v>131</v>
      </c>
      <c r="B180" s="13" t="s">
        <v>191</v>
      </c>
      <c r="C180" s="92">
        <v>1962</v>
      </c>
      <c r="D180" s="95"/>
      <c r="E180" s="92" t="s">
        <v>94</v>
      </c>
      <c r="F180" s="95">
        <v>2</v>
      </c>
      <c r="G180" s="95">
        <v>2</v>
      </c>
      <c r="H180" s="97">
        <v>689.7</v>
      </c>
      <c r="I180" s="97">
        <v>689.7</v>
      </c>
      <c r="J180" s="97">
        <v>371.5</v>
      </c>
      <c r="K180" s="96">
        <v>25</v>
      </c>
      <c r="L180" s="97">
        <f>'виды работ  (2)'!C179</f>
        <v>316056</v>
      </c>
      <c r="M180" s="97">
        <v>0</v>
      </c>
      <c r="N180" s="97">
        <v>0</v>
      </c>
      <c r="O180" s="97">
        <v>0</v>
      </c>
      <c r="P180" s="97">
        <f t="shared" si="33"/>
        <v>316056</v>
      </c>
      <c r="Q180" s="97">
        <f t="shared" si="34"/>
        <v>458.2514136581122</v>
      </c>
      <c r="R180" s="97">
        <v>42000</v>
      </c>
      <c r="S180" s="55" t="s">
        <v>843</v>
      </c>
      <c r="T180" s="92" t="s">
        <v>773</v>
      </c>
      <c r="X180" s="190"/>
    </row>
    <row r="181" spans="1:24" s="186" customFormat="1" ht="19.5" customHeight="1">
      <c r="A181" s="10">
        <f t="shared" si="35"/>
        <v>132</v>
      </c>
      <c r="B181" s="13" t="s">
        <v>188</v>
      </c>
      <c r="C181" s="92">
        <v>1967</v>
      </c>
      <c r="D181" s="95"/>
      <c r="E181" s="92" t="s">
        <v>700</v>
      </c>
      <c r="F181" s="95">
        <v>5</v>
      </c>
      <c r="G181" s="95">
        <v>4</v>
      </c>
      <c r="H181" s="97">
        <v>2560.87</v>
      </c>
      <c r="I181" s="97">
        <v>2560.87</v>
      </c>
      <c r="J181" s="97">
        <v>2025.77</v>
      </c>
      <c r="K181" s="96">
        <v>112</v>
      </c>
      <c r="L181" s="97">
        <f>'виды работ  (2)'!C180</f>
        <v>201159</v>
      </c>
      <c r="M181" s="97">
        <v>0</v>
      </c>
      <c r="N181" s="97">
        <v>0</v>
      </c>
      <c r="O181" s="97">
        <v>0</v>
      </c>
      <c r="P181" s="97">
        <f t="shared" si="33"/>
        <v>201159</v>
      </c>
      <c r="Q181" s="97">
        <f t="shared" si="34"/>
        <v>78.5510392952395</v>
      </c>
      <c r="R181" s="97">
        <v>42000</v>
      </c>
      <c r="S181" s="55" t="s">
        <v>843</v>
      </c>
      <c r="T181" s="92" t="s">
        <v>773</v>
      </c>
      <c r="X181" s="190"/>
    </row>
    <row r="182" spans="1:24" s="186" customFormat="1" ht="19.5" customHeight="1">
      <c r="A182" s="10">
        <f t="shared" si="35"/>
        <v>133</v>
      </c>
      <c r="B182" s="13" t="s">
        <v>192</v>
      </c>
      <c r="C182" s="92">
        <v>1954</v>
      </c>
      <c r="D182" s="95"/>
      <c r="E182" s="92" t="s">
        <v>94</v>
      </c>
      <c r="F182" s="95">
        <v>2</v>
      </c>
      <c r="G182" s="95">
        <v>2</v>
      </c>
      <c r="H182" s="97">
        <v>691.7</v>
      </c>
      <c r="I182" s="97">
        <v>691.7</v>
      </c>
      <c r="J182" s="97">
        <v>394.1</v>
      </c>
      <c r="K182" s="96">
        <v>27</v>
      </c>
      <c r="L182" s="97">
        <f>'виды работ  (2)'!C181</f>
        <v>346060</v>
      </c>
      <c r="M182" s="97">
        <v>0</v>
      </c>
      <c r="N182" s="97">
        <v>0</v>
      </c>
      <c r="O182" s="97">
        <v>0</v>
      </c>
      <c r="P182" s="97">
        <f t="shared" si="33"/>
        <v>346060</v>
      </c>
      <c r="Q182" s="97">
        <f>L182/H182</f>
        <v>500.30359982651436</v>
      </c>
      <c r="R182" s="97">
        <v>42000</v>
      </c>
      <c r="S182" s="55" t="s">
        <v>843</v>
      </c>
      <c r="T182" s="92" t="s">
        <v>773</v>
      </c>
      <c r="X182" s="190"/>
    </row>
    <row r="183" spans="1:24" s="186" customFormat="1" ht="13.5" customHeight="1">
      <c r="A183" s="117" t="s">
        <v>597</v>
      </c>
      <c r="B183" s="117"/>
      <c r="C183" s="86" t="s">
        <v>430</v>
      </c>
      <c r="D183" s="86" t="s">
        <v>430</v>
      </c>
      <c r="E183" s="86" t="s">
        <v>430</v>
      </c>
      <c r="F183" s="86" t="s">
        <v>430</v>
      </c>
      <c r="G183" s="86" t="s">
        <v>430</v>
      </c>
      <c r="H183" s="97">
        <f>SUM(H174:H182)</f>
        <v>17208.83</v>
      </c>
      <c r="I183" s="97">
        <f aca="true" t="shared" si="36" ref="I183:P183">SUM(I174:I182)</f>
        <v>17208.83</v>
      </c>
      <c r="J183" s="97">
        <f t="shared" si="36"/>
        <v>13602.660000000002</v>
      </c>
      <c r="K183" s="96">
        <f t="shared" si="36"/>
        <v>653</v>
      </c>
      <c r="L183" s="97">
        <f>SUM(L174:L182)</f>
        <v>10029458</v>
      </c>
      <c r="M183" s="97">
        <f t="shared" si="36"/>
        <v>0</v>
      </c>
      <c r="N183" s="97">
        <f t="shared" si="36"/>
        <v>0</v>
      </c>
      <c r="O183" s="97">
        <f t="shared" si="36"/>
        <v>0</v>
      </c>
      <c r="P183" s="97">
        <f t="shared" si="36"/>
        <v>10029458</v>
      </c>
      <c r="Q183" s="97">
        <f t="shared" si="34"/>
        <v>582.8088254692503</v>
      </c>
      <c r="R183" s="56" t="s">
        <v>430</v>
      </c>
      <c r="S183" s="56" t="s">
        <v>430</v>
      </c>
      <c r="T183" s="56" t="s">
        <v>430</v>
      </c>
      <c r="U183" s="190"/>
      <c r="X183" s="190"/>
    </row>
    <row r="184" spans="1:24" s="186" customFormat="1" ht="21" customHeight="1">
      <c r="A184" s="132" t="s">
        <v>611</v>
      </c>
      <c r="B184" s="132"/>
      <c r="C184" s="132"/>
      <c r="D184" s="132"/>
      <c r="E184" s="132"/>
      <c r="F184" s="178"/>
      <c r="G184" s="178"/>
      <c r="H184" s="178"/>
      <c r="I184" s="178"/>
      <c r="J184" s="178"/>
      <c r="K184" s="178"/>
      <c r="L184" s="178"/>
      <c r="M184" s="178"/>
      <c r="N184" s="178"/>
      <c r="O184" s="178"/>
      <c r="P184" s="178"/>
      <c r="Q184" s="178"/>
      <c r="R184" s="178"/>
      <c r="S184" s="178"/>
      <c r="T184" s="178"/>
      <c r="X184" s="190"/>
    </row>
    <row r="185" spans="1:24" s="186" customFormat="1" ht="15">
      <c r="A185" s="96">
        <f>A182+1</f>
        <v>134</v>
      </c>
      <c r="B185" s="188" t="s">
        <v>1</v>
      </c>
      <c r="C185" s="92">
        <v>1972</v>
      </c>
      <c r="D185" s="95"/>
      <c r="E185" s="92" t="s">
        <v>94</v>
      </c>
      <c r="F185" s="95">
        <v>2</v>
      </c>
      <c r="G185" s="95">
        <v>2</v>
      </c>
      <c r="H185" s="97">
        <v>719.15</v>
      </c>
      <c r="I185" s="97">
        <v>719.15</v>
      </c>
      <c r="J185" s="97">
        <v>478.15</v>
      </c>
      <c r="K185" s="10">
        <v>31</v>
      </c>
      <c r="L185" s="97">
        <f>'виды работ  (2)'!C184</f>
        <v>3147201</v>
      </c>
      <c r="M185" s="97">
        <v>0</v>
      </c>
      <c r="N185" s="97">
        <v>0</v>
      </c>
      <c r="O185" s="97">
        <v>0</v>
      </c>
      <c r="P185" s="97">
        <f>L185</f>
        <v>3147201</v>
      </c>
      <c r="Q185" s="97">
        <f>L185/H185</f>
        <v>4376.278940415768</v>
      </c>
      <c r="R185" s="97">
        <v>42000</v>
      </c>
      <c r="S185" s="55" t="s">
        <v>843</v>
      </c>
      <c r="T185" s="92" t="s">
        <v>773</v>
      </c>
      <c r="X185" s="190"/>
    </row>
    <row r="186" spans="1:24" s="186" customFormat="1" ht="15">
      <c r="A186" s="117" t="s">
        <v>597</v>
      </c>
      <c r="B186" s="117"/>
      <c r="C186" s="86" t="s">
        <v>430</v>
      </c>
      <c r="D186" s="86" t="s">
        <v>430</v>
      </c>
      <c r="E186" s="86" t="s">
        <v>430</v>
      </c>
      <c r="F186" s="86" t="s">
        <v>430</v>
      </c>
      <c r="G186" s="86" t="s">
        <v>430</v>
      </c>
      <c r="H186" s="97">
        <f aca="true" t="shared" si="37" ref="H186:P186">SUM(H185)</f>
        <v>719.15</v>
      </c>
      <c r="I186" s="97">
        <f t="shared" si="37"/>
        <v>719.15</v>
      </c>
      <c r="J186" s="97">
        <f t="shared" si="37"/>
        <v>478.15</v>
      </c>
      <c r="K186" s="96">
        <f t="shared" si="37"/>
        <v>31</v>
      </c>
      <c r="L186" s="97">
        <f t="shared" si="37"/>
        <v>3147201</v>
      </c>
      <c r="M186" s="97">
        <f t="shared" si="37"/>
        <v>0</v>
      </c>
      <c r="N186" s="97">
        <f t="shared" si="37"/>
        <v>0</v>
      </c>
      <c r="O186" s="97">
        <f t="shared" si="37"/>
        <v>0</v>
      </c>
      <c r="P186" s="97">
        <f t="shared" si="37"/>
        <v>3147201</v>
      </c>
      <c r="Q186" s="97">
        <f>L186/H186</f>
        <v>4376.278940415768</v>
      </c>
      <c r="R186" s="56" t="s">
        <v>430</v>
      </c>
      <c r="S186" s="56" t="s">
        <v>430</v>
      </c>
      <c r="T186" s="56" t="s">
        <v>430</v>
      </c>
      <c r="U186" s="190"/>
      <c r="X186" s="190"/>
    </row>
    <row r="187" spans="1:24" s="186" customFormat="1" ht="15">
      <c r="A187" s="140" t="s">
        <v>612</v>
      </c>
      <c r="B187" s="140"/>
      <c r="C187" s="140"/>
      <c r="D187" s="81" t="s">
        <v>430</v>
      </c>
      <c r="E187" s="81" t="s">
        <v>430</v>
      </c>
      <c r="F187" s="81" t="s">
        <v>430</v>
      </c>
      <c r="G187" s="81" t="s">
        <v>430</v>
      </c>
      <c r="H187" s="97">
        <f aca="true" t="shared" si="38" ref="H187:P187">H92+H87+H97+H186+H183+H172+H83</f>
        <v>82051.355</v>
      </c>
      <c r="I187" s="97">
        <f t="shared" si="38"/>
        <v>76946.12</v>
      </c>
      <c r="J187" s="97">
        <f t="shared" si="38"/>
        <v>56202.22</v>
      </c>
      <c r="K187" s="96">
        <f t="shared" si="38"/>
        <v>3602</v>
      </c>
      <c r="L187" s="97">
        <f t="shared" si="38"/>
        <v>61325058</v>
      </c>
      <c r="M187" s="97">
        <f t="shared" si="38"/>
        <v>0</v>
      </c>
      <c r="N187" s="97">
        <f t="shared" si="38"/>
        <v>0</v>
      </c>
      <c r="O187" s="97">
        <f t="shared" si="38"/>
        <v>0</v>
      </c>
      <c r="P187" s="97">
        <f t="shared" si="38"/>
        <v>61325058</v>
      </c>
      <c r="Q187" s="97">
        <f>L187/H187</f>
        <v>747.398479891039</v>
      </c>
      <c r="R187" s="56" t="s">
        <v>430</v>
      </c>
      <c r="S187" s="56" t="s">
        <v>430</v>
      </c>
      <c r="T187" s="56" t="s">
        <v>430</v>
      </c>
      <c r="U187" s="190"/>
      <c r="X187" s="190"/>
    </row>
    <row r="188" spans="1:24" s="198" customFormat="1" ht="15">
      <c r="A188" s="95"/>
      <c r="B188" s="178" t="s">
        <v>613</v>
      </c>
      <c r="C188" s="178"/>
      <c r="D188" s="178"/>
      <c r="E188" s="178"/>
      <c r="F188" s="178"/>
      <c r="G188" s="178"/>
      <c r="H188" s="178"/>
      <c r="I188" s="178"/>
      <c r="J188" s="178"/>
      <c r="K188" s="178"/>
      <c r="L188" s="178"/>
      <c r="M188" s="178"/>
      <c r="N188" s="178"/>
      <c r="O188" s="178"/>
      <c r="P188" s="178"/>
      <c r="Q188" s="178"/>
      <c r="R188" s="178"/>
      <c r="S188" s="178"/>
      <c r="T188" s="178"/>
      <c r="X188" s="190"/>
    </row>
    <row r="189" spans="1:24" s="41" customFormat="1" ht="20.25" customHeight="1">
      <c r="A189" s="172" t="s">
        <v>712</v>
      </c>
      <c r="B189" s="172"/>
      <c r="C189" s="172"/>
      <c r="D189" s="172"/>
      <c r="E189" s="172"/>
      <c r="F189" s="182"/>
      <c r="G189" s="182"/>
      <c r="H189" s="182"/>
      <c r="I189" s="182"/>
      <c r="J189" s="182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X189" s="190"/>
    </row>
    <row r="190" spans="1:24" s="41" customFormat="1" ht="21.75" customHeight="1">
      <c r="A190" s="10">
        <f>A185+1</f>
        <v>135</v>
      </c>
      <c r="B190" s="59" t="s">
        <v>713</v>
      </c>
      <c r="C190" s="92">
        <v>1959</v>
      </c>
      <c r="D190" s="92"/>
      <c r="E190" s="92" t="s">
        <v>94</v>
      </c>
      <c r="F190" s="92">
        <v>4</v>
      </c>
      <c r="G190" s="92">
        <v>3</v>
      </c>
      <c r="H190" s="86">
        <v>2714.25</v>
      </c>
      <c r="I190" s="86">
        <v>2026.58</v>
      </c>
      <c r="J190" s="86">
        <v>1766.8</v>
      </c>
      <c r="K190" s="10">
        <v>94</v>
      </c>
      <c r="L190" s="86">
        <f>'виды работ  (2)'!C189</f>
        <v>744509</v>
      </c>
      <c r="M190" s="86">
        <v>0</v>
      </c>
      <c r="N190" s="86">
        <v>0</v>
      </c>
      <c r="O190" s="86">
        <v>0</v>
      </c>
      <c r="P190" s="86">
        <f>L190</f>
        <v>744509</v>
      </c>
      <c r="Q190" s="86">
        <f>L190/H190</f>
        <v>274.29639863682416</v>
      </c>
      <c r="R190" s="97">
        <v>42000</v>
      </c>
      <c r="S190" s="55" t="s">
        <v>843</v>
      </c>
      <c r="T190" s="92" t="s">
        <v>773</v>
      </c>
      <c r="X190" s="190"/>
    </row>
    <row r="191" spans="1:24" s="41" customFormat="1" ht="21.75" customHeight="1">
      <c r="A191" s="10">
        <f>A190+1</f>
        <v>136</v>
      </c>
      <c r="B191" s="88" t="s">
        <v>714</v>
      </c>
      <c r="C191" s="92">
        <v>1966</v>
      </c>
      <c r="D191" s="92"/>
      <c r="E191" s="92" t="s">
        <v>411</v>
      </c>
      <c r="F191" s="92">
        <v>5</v>
      </c>
      <c r="G191" s="92">
        <v>2</v>
      </c>
      <c r="H191" s="86">
        <v>1809.5</v>
      </c>
      <c r="I191" s="86">
        <v>1636.1</v>
      </c>
      <c r="J191" s="86">
        <v>1331.5</v>
      </c>
      <c r="K191" s="10">
        <v>102</v>
      </c>
      <c r="L191" s="86">
        <f>'виды работ  (2)'!C190</f>
        <v>757978</v>
      </c>
      <c r="M191" s="86">
        <v>0</v>
      </c>
      <c r="N191" s="86">
        <v>0</v>
      </c>
      <c r="O191" s="86">
        <v>0</v>
      </c>
      <c r="P191" s="86">
        <f>L191</f>
        <v>757978</v>
      </c>
      <c r="Q191" s="86">
        <f>L191/H191</f>
        <v>418.8880906327715</v>
      </c>
      <c r="R191" s="97">
        <v>42000</v>
      </c>
      <c r="S191" s="55" t="s">
        <v>843</v>
      </c>
      <c r="T191" s="92" t="s">
        <v>773</v>
      </c>
      <c r="X191" s="190"/>
    </row>
    <row r="192" spans="1:24" s="41" customFormat="1" ht="21.75" customHeight="1">
      <c r="A192" s="10">
        <f>A191+1</f>
        <v>137</v>
      </c>
      <c r="B192" s="88" t="s">
        <v>715</v>
      </c>
      <c r="C192" s="92">
        <v>1967</v>
      </c>
      <c r="D192" s="92"/>
      <c r="E192" s="92" t="s">
        <v>411</v>
      </c>
      <c r="F192" s="92">
        <v>5</v>
      </c>
      <c r="G192" s="92">
        <v>2</v>
      </c>
      <c r="H192" s="86">
        <v>1810.9</v>
      </c>
      <c r="I192" s="86">
        <v>1634.8</v>
      </c>
      <c r="J192" s="86">
        <v>1461.2</v>
      </c>
      <c r="K192" s="10">
        <v>67</v>
      </c>
      <c r="L192" s="86">
        <f>'виды работ  (2)'!C191</f>
        <v>763883</v>
      </c>
      <c r="M192" s="86">
        <v>0</v>
      </c>
      <c r="N192" s="86">
        <v>0</v>
      </c>
      <c r="O192" s="86">
        <v>0</v>
      </c>
      <c r="P192" s="86">
        <f>L192</f>
        <v>763883</v>
      </c>
      <c r="Q192" s="86">
        <f>L192/H192</f>
        <v>421.82505936274777</v>
      </c>
      <c r="R192" s="97">
        <v>42000</v>
      </c>
      <c r="S192" s="55" t="s">
        <v>843</v>
      </c>
      <c r="T192" s="92" t="s">
        <v>773</v>
      </c>
      <c r="X192" s="190"/>
    </row>
    <row r="193" spans="1:24" s="41" customFormat="1" ht="15.75" customHeight="1">
      <c r="A193" s="117" t="s">
        <v>597</v>
      </c>
      <c r="B193" s="117"/>
      <c r="C193" s="86" t="s">
        <v>430</v>
      </c>
      <c r="D193" s="86" t="s">
        <v>430</v>
      </c>
      <c r="E193" s="86" t="s">
        <v>430</v>
      </c>
      <c r="F193" s="86" t="s">
        <v>430</v>
      </c>
      <c r="G193" s="86" t="s">
        <v>430</v>
      </c>
      <c r="H193" s="19">
        <f aca="true" t="shared" si="39" ref="H193:P193">SUM(H190:H192)</f>
        <v>6334.65</v>
      </c>
      <c r="I193" s="19">
        <f t="shared" si="39"/>
        <v>5297.48</v>
      </c>
      <c r="J193" s="19">
        <f t="shared" si="39"/>
        <v>4559.5</v>
      </c>
      <c r="K193" s="60">
        <f t="shared" si="39"/>
        <v>263</v>
      </c>
      <c r="L193" s="19">
        <f t="shared" si="39"/>
        <v>2266370</v>
      </c>
      <c r="M193" s="19">
        <f t="shared" si="39"/>
        <v>0</v>
      </c>
      <c r="N193" s="19">
        <f t="shared" si="39"/>
        <v>0</v>
      </c>
      <c r="O193" s="19">
        <f t="shared" si="39"/>
        <v>0</v>
      </c>
      <c r="P193" s="19">
        <f t="shared" si="39"/>
        <v>2266370</v>
      </c>
      <c r="Q193" s="86">
        <f>L193/H193</f>
        <v>357.77351550598695</v>
      </c>
      <c r="R193" s="56" t="s">
        <v>430</v>
      </c>
      <c r="S193" s="61" t="s">
        <v>430</v>
      </c>
      <c r="T193" s="92" t="s">
        <v>430</v>
      </c>
      <c r="U193" s="190"/>
      <c r="X193" s="190"/>
    </row>
    <row r="194" spans="1:24" s="186" customFormat="1" ht="15" customHeight="1">
      <c r="A194" s="105" t="s">
        <v>614</v>
      </c>
      <c r="B194" s="110"/>
      <c r="C194" s="110"/>
      <c r="D194" s="110"/>
      <c r="E194" s="106"/>
      <c r="F194" s="178"/>
      <c r="G194" s="178"/>
      <c r="H194" s="178"/>
      <c r="I194" s="178"/>
      <c r="J194" s="178"/>
      <c r="K194" s="178"/>
      <c r="L194" s="178"/>
      <c r="M194" s="178"/>
      <c r="N194" s="178"/>
      <c r="O194" s="178"/>
      <c r="P194" s="178"/>
      <c r="Q194" s="178"/>
      <c r="R194" s="178"/>
      <c r="S194" s="178"/>
      <c r="T194" s="178"/>
      <c r="X194" s="190"/>
    </row>
    <row r="195" spans="1:24" s="186" customFormat="1" ht="15">
      <c r="A195" s="96">
        <f>A192+1</f>
        <v>138</v>
      </c>
      <c r="B195" s="59" t="s">
        <v>213</v>
      </c>
      <c r="C195" s="39">
        <v>1956</v>
      </c>
      <c r="D195" s="95"/>
      <c r="E195" s="92" t="s">
        <v>94</v>
      </c>
      <c r="F195" s="95">
        <v>2</v>
      </c>
      <c r="G195" s="95">
        <v>1</v>
      </c>
      <c r="H195" s="97">
        <v>595.1</v>
      </c>
      <c r="I195" s="97">
        <v>525</v>
      </c>
      <c r="J195" s="97">
        <v>392.5</v>
      </c>
      <c r="K195" s="96">
        <v>21</v>
      </c>
      <c r="L195" s="97">
        <f>'виды работ  (2)'!C194</f>
        <v>2530810</v>
      </c>
      <c r="M195" s="97">
        <v>0</v>
      </c>
      <c r="N195" s="97">
        <v>0</v>
      </c>
      <c r="O195" s="97">
        <v>0</v>
      </c>
      <c r="P195" s="97">
        <f>L195</f>
        <v>2530810</v>
      </c>
      <c r="Q195" s="97">
        <f>L195/H195</f>
        <v>4252.747437405478</v>
      </c>
      <c r="R195" s="97">
        <v>42000</v>
      </c>
      <c r="S195" s="55" t="s">
        <v>843</v>
      </c>
      <c r="T195" s="92" t="s">
        <v>773</v>
      </c>
      <c r="X195" s="190"/>
    </row>
    <row r="196" spans="1:24" s="186" customFormat="1" ht="14.25" customHeight="1">
      <c r="A196" s="95">
        <f>A195+1</f>
        <v>139</v>
      </c>
      <c r="B196" s="59" t="s">
        <v>214</v>
      </c>
      <c r="C196" s="39">
        <v>1956</v>
      </c>
      <c r="D196" s="95"/>
      <c r="E196" s="92" t="s">
        <v>94</v>
      </c>
      <c r="F196" s="95">
        <v>2</v>
      </c>
      <c r="G196" s="95">
        <v>1</v>
      </c>
      <c r="H196" s="97">
        <v>561.4</v>
      </c>
      <c r="I196" s="97">
        <v>515.1</v>
      </c>
      <c r="J196" s="97">
        <v>515.1</v>
      </c>
      <c r="K196" s="96">
        <v>17</v>
      </c>
      <c r="L196" s="97">
        <f>'виды работ  (2)'!C195</f>
        <v>2530810</v>
      </c>
      <c r="M196" s="97">
        <v>0</v>
      </c>
      <c r="N196" s="97">
        <v>0</v>
      </c>
      <c r="O196" s="97">
        <v>0</v>
      </c>
      <c r="P196" s="97">
        <f>L196</f>
        <v>2530810</v>
      </c>
      <c r="Q196" s="97">
        <f>L196/H196</f>
        <v>4508.033487709298</v>
      </c>
      <c r="R196" s="97">
        <v>42000</v>
      </c>
      <c r="S196" s="55" t="s">
        <v>843</v>
      </c>
      <c r="T196" s="92" t="s">
        <v>773</v>
      </c>
      <c r="X196" s="190"/>
    </row>
    <row r="197" spans="1:24" s="186" customFormat="1" ht="15">
      <c r="A197" s="95">
        <f>A196+1</f>
        <v>140</v>
      </c>
      <c r="B197" s="59" t="s">
        <v>215</v>
      </c>
      <c r="C197" s="39">
        <v>1956</v>
      </c>
      <c r="D197" s="95"/>
      <c r="E197" s="92" t="s">
        <v>94</v>
      </c>
      <c r="F197" s="95">
        <v>2</v>
      </c>
      <c r="G197" s="95">
        <v>1</v>
      </c>
      <c r="H197" s="97">
        <v>586.2</v>
      </c>
      <c r="I197" s="97">
        <v>543.4</v>
      </c>
      <c r="J197" s="97">
        <v>485.3</v>
      </c>
      <c r="K197" s="96">
        <v>21</v>
      </c>
      <c r="L197" s="97">
        <f>'виды работ  (2)'!C196</f>
        <v>2530810</v>
      </c>
      <c r="M197" s="97">
        <v>0</v>
      </c>
      <c r="N197" s="97">
        <v>0</v>
      </c>
      <c r="O197" s="97">
        <v>0</v>
      </c>
      <c r="P197" s="97">
        <f>L197</f>
        <v>2530810</v>
      </c>
      <c r="Q197" s="97">
        <f>L197/H197</f>
        <v>4317.314909587171</v>
      </c>
      <c r="R197" s="97">
        <v>42000</v>
      </c>
      <c r="S197" s="55" t="s">
        <v>843</v>
      </c>
      <c r="T197" s="92" t="s">
        <v>773</v>
      </c>
      <c r="X197" s="190"/>
    </row>
    <row r="198" spans="1:24" s="186" customFormat="1" ht="15">
      <c r="A198" s="95">
        <f>A197+1</f>
        <v>141</v>
      </c>
      <c r="B198" s="59" t="s">
        <v>216</v>
      </c>
      <c r="C198" s="39">
        <v>1955</v>
      </c>
      <c r="D198" s="95"/>
      <c r="E198" s="92" t="s">
        <v>94</v>
      </c>
      <c r="F198" s="95">
        <v>2</v>
      </c>
      <c r="G198" s="95">
        <v>1</v>
      </c>
      <c r="H198" s="97">
        <v>566.5</v>
      </c>
      <c r="I198" s="97">
        <v>520.2</v>
      </c>
      <c r="J198" s="97">
        <v>520.2</v>
      </c>
      <c r="K198" s="96">
        <v>18</v>
      </c>
      <c r="L198" s="97">
        <f>'виды работ  (2)'!C197</f>
        <v>2560636</v>
      </c>
      <c r="M198" s="97">
        <v>0</v>
      </c>
      <c r="N198" s="97">
        <v>0</v>
      </c>
      <c r="O198" s="97">
        <v>0</v>
      </c>
      <c r="P198" s="97">
        <f>L198</f>
        <v>2560636</v>
      </c>
      <c r="Q198" s="97">
        <f>L198/H198</f>
        <v>4520.098852603707</v>
      </c>
      <c r="R198" s="97">
        <v>42000</v>
      </c>
      <c r="S198" s="55" t="s">
        <v>843</v>
      </c>
      <c r="T198" s="92" t="s">
        <v>773</v>
      </c>
      <c r="X198" s="190"/>
    </row>
    <row r="199" spans="1:24" s="186" customFormat="1" ht="15">
      <c r="A199" s="117" t="s">
        <v>597</v>
      </c>
      <c r="B199" s="117"/>
      <c r="C199" s="86" t="s">
        <v>430</v>
      </c>
      <c r="D199" s="86" t="s">
        <v>430</v>
      </c>
      <c r="E199" s="86" t="s">
        <v>430</v>
      </c>
      <c r="F199" s="86" t="s">
        <v>430</v>
      </c>
      <c r="G199" s="86" t="s">
        <v>430</v>
      </c>
      <c r="H199" s="97">
        <f aca="true" t="shared" si="40" ref="H199:P199">SUM(H195:H198)</f>
        <v>2309.2</v>
      </c>
      <c r="I199" s="97">
        <f t="shared" si="40"/>
        <v>2103.7</v>
      </c>
      <c r="J199" s="97">
        <f t="shared" si="40"/>
        <v>1913.1000000000001</v>
      </c>
      <c r="K199" s="96">
        <f t="shared" si="40"/>
        <v>77</v>
      </c>
      <c r="L199" s="97">
        <f t="shared" si="40"/>
        <v>10153066</v>
      </c>
      <c r="M199" s="97">
        <f t="shared" si="40"/>
        <v>0</v>
      </c>
      <c r="N199" s="97">
        <f t="shared" si="40"/>
        <v>0</v>
      </c>
      <c r="O199" s="97">
        <f t="shared" si="40"/>
        <v>0</v>
      </c>
      <c r="P199" s="97">
        <f t="shared" si="40"/>
        <v>10153066</v>
      </c>
      <c r="Q199" s="97">
        <f>L199/H199</f>
        <v>4396.789364282003</v>
      </c>
      <c r="R199" s="56" t="s">
        <v>430</v>
      </c>
      <c r="S199" s="56" t="s">
        <v>430</v>
      </c>
      <c r="T199" s="56" t="s">
        <v>430</v>
      </c>
      <c r="U199" s="190"/>
      <c r="X199" s="190"/>
    </row>
    <row r="200" spans="1:24" s="186" customFormat="1" ht="15" customHeight="1">
      <c r="A200" s="105" t="s">
        <v>680</v>
      </c>
      <c r="B200" s="110"/>
      <c r="C200" s="110"/>
      <c r="D200" s="110"/>
      <c r="E200" s="106"/>
      <c r="F200" s="178"/>
      <c r="G200" s="178"/>
      <c r="H200" s="178"/>
      <c r="I200" s="178"/>
      <c r="J200" s="178"/>
      <c r="K200" s="178"/>
      <c r="L200" s="178"/>
      <c r="M200" s="178"/>
      <c r="N200" s="178"/>
      <c r="O200" s="178"/>
      <c r="P200" s="178"/>
      <c r="Q200" s="178"/>
      <c r="R200" s="178"/>
      <c r="S200" s="178"/>
      <c r="T200" s="178"/>
      <c r="X200" s="190"/>
    </row>
    <row r="201" spans="1:24" s="186" customFormat="1" ht="15">
      <c r="A201" s="95">
        <f>A198+1</f>
        <v>142</v>
      </c>
      <c r="B201" s="13" t="s">
        <v>817</v>
      </c>
      <c r="C201" s="39">
        <v>1936</v>
      </c>
      <c r="D201" s="92"/>
      <c r="E201" s="92" t="s">
        <v>94</v>
      </c>
      <c r="F201" s="92">
        <v>4</v>
      </c>
      <c r="G201" s="92">
        <v>3</v>
      </c>
      <c r="H201" s="97">
        <v>2378.1</v>
      </c>
      <c r="I201" s="97">
        <v>1683.4</v>
      </c>
      <c r="J201" s="97">
        <v>301.4</v>
      </c>
      <c r="K201" s="96">
        <v>101</v>
      </c>
      <c r="L201" s="97">
        <f>'виды работ  (2)'!C200</f>
        <v>971445</v>
      </c>
      <c r="M201" s="97">
        <v>0</v>
      </c>
      <c r="N201" s="97">
        <v>0</v>
      </c>
      <c r="O201" s="97">
        <v>0</v>
      </c>
      <c r="P201" s="97">
        <f>L201</f>
        <v>971445</v>
      </c>
      <c r="Q201" s="97">
        <f>L201/H201</f>
        <v>408.49627854169296</v>
      </c>
      <c r="R201" s="97">
        <v>42000</v>
      </c>
      <c r="S201" s="55" t="s">
        <v>843</v>
      </c>
      <c r="T201" s="92" t="s">
        <v>773</v>
      </c>
      <c r="X201" s="190"/>
    </row>
    <row r="202" spans="1:24" s="186" customFormat="1" ht="15">
      <c r="A202" s="96">
        <f>A201+1</f>
        <v>143</v>
      </c>
      <c r="B202" s="13" t="s">
        <v>816</v>
      </c>
      <c r="C202" s="39">
        <v>1937</v>
      </c>
      <c r="D202" s="92"/>
      <c r="E202" s="92" t="s">
        <v>94</v>
      </c>
      <c r="F202" s="92">
        <v>4</v>
      </c>
      <c r="G202" s="92">
        <v>3</v>
      </c>
      <c r="H202" s="97">
        <v>2477.3</v>
      </c>
      <c r="I202" s="97">
        <v>2215.3</v>
      </c>
      <c r="J202" s="97">
        <v>1044.65</v>
      </c>
      <c r="K202" s="96">
        <v>127</v>
      </c>
      <c r="L202" s="97">
        <f>'виды работ  (2)'!C201</f>
        <v>946526</v>
      </c>
      <c r="M202" s="97">
        <v>0</v>
      </c>
      <c r="N202" s="97">
        <v>0</v>
      </c>
      <c r="O202" s="97">
        <v>0</v>
      </c>
      <c r="P202" s="97">
        <f aca="true" t="shared" si="41" ref="P202:P219">L202</f>
        <v>946526</v>
      </c>
      <c r="Q202" s="97">
        <f aca="true" t="shared" si="42" ref="Q202:Q219">L202/H202</f>
        <v>382.07968352641984</v>
      </c>
      <c r="R202" s="97">
        <v>42000</v>
      </c>
      <c r="S202" s="55" t="s">
        <v>843</v>
      </c>
      <c r="T202" s="92" t="s">
        <v>773</v>
      </c>
      <c r="X202" s="190"/>
    </row>
    <row r="203" spans="1:24" s="41" customFormat="1" ht="21" customHeight="1">
      <c r="A203" s="96">
        <f aca="true" t="shared" si="43" ref="A203:A219">A202+1</f>
        <v>144</v>
      </c>
      <c r="B203" s="59" t="s">
        <v>716</v>
      </c>
      <c r="C203" s="39">
        <v>1939</v>
      </c>
      <c r="D203" s="61"/>
      <c r="E203" s="92" t="s">
        <v>94</v>
      </c>
      <c r="F203" s="92">
        <v>4</v>
      </c>
      <c r="G203" s="92">
        <v>3</v>
      </c>
      <c r="H203" s="86">
        <v>2453.5</v>
      </c>
      <c r="I203" s="86">
        <v>2120.1</v>
      </c>
      <c r="J203" s="86">
        <v>333.4</v>
      </c>
      <c r="K203" s="10">
        <v>146</v>
      </c>
      <c r="L203" s="97">
        <f>'виды работ  (2)'!C202</f>
        <v>7090881</v>
      </c>
      <c r="M203" s="97">
        <v>0</v>
      </c>
      <c r="N203" s="97">
        <v>0</v>
      </c>
      <c r="O203" s="97">
        <v>0</v>
      </c>
      <c r="P203" s="97">
        <f t="shared" si="41"/>
        <v>7090881</v>
      </c>
      <c r="Q203" s="97">
        <f t="shared" si="42"/>
        <v>2890.1084165477887</v>
      </c>
      <c r="R203" s="97">
        <v>42000</v>
      </c>
      <c r="S203" s="55" t="s">
        <v>843</v>
      </c>
      <c r="T203" s="92" t="s">
        <v>773</v>
      </c>
      <c r="X203" s="190"/>
    </row>
    <row r="204" spans="1:24" s="186" customFormat="1" ht="15">
      <c r="A204" s="96">
        <f t="shared" si="43"/>
        <v>145</v>
      </c>
      <c r="B204" s="59" t="s">
        <v>208</v>
      </c>
      <c r="C204" s="39">
        <v>1961</v>
      </c>
      <c r="D204" s="188"/>
      <c r="E204" s="92" t="s">
        <v>94</v>
      </c>
      <c r="F204" s="95">
        <v>3</v>
      </c>
      <c r="G204" s="95">
        <v>3</v>
      </c>
      <c r="H204" s="97">
        <v>1656.1</v>
      </c>
      <c r="I204" s="97">
        <v>1512.8</v>
      </c>
      <c r="J204" s="97">
        <v>1429</v>
      </c>
      <c r="K204" s="96">
        <v>65</v>
      </c>
      <c r="L204" s="97">
        <f>'виды работ  (2)'!C203</f>
        <v>2172047</v>
      </c>
      <c r="M204" s="97">
        <v>0</v>
      </c>
      <c r="N204" s="97">
        <v>0</v>
      </c>
      <c r="O204" s="97">
        <v>0</v>
      </c>
      <c r="P204" s="97">
        <f t="shared" si="41"/>
        <v>2172047</v>
      </c>
      <c r="Q204" s="97">
        <f t="shared" si="42"/>
        <v>1311.5433850612887</v>
      </c>
      <c r="R204" s="97">
        <v>42000</v>
      </c>
      <c r="S204" s="55" t="s">
        <v>843</v>
      </c>
      <c r="T204" s="92" t="s">
        <v>773</v>
      </c>
      <c r="X204" s="190"/>
    </row>
    <row r="205" spans="1:24" s="186" customFormat="1" ht="15">
      <c r="A205" s="96">
        <f t="shared" si="43"/>
        <v>146</v>
      </c>
      <c r="B205" s="59" t="s">
        <v>205</v>
      </c>
      <c r="C205" s="39">
        <v>1994</v>
      </c>
      <c r="D205" s="188"/>
      <c r="E205" s="92" t="s">
        <v>700</v>
      </c>
      <c r="F205" s="95">
        <v>2</v>
      </c>
      <c r="G205" s="95">
        <v>2</v>
      </c>
      <c r="H205" s="97">
        <v>650.1</v>
      </c>
      <c r="I205" s="97">
        <v>527.2</v>
      </c>
      <c r="J205" s="97">
        <v>304.30000000000007</v>
      </c>
      <c r="K205" s="96">
        <v>34</v>
      </c>
      <c r="L205" s="97">
        <f>'виды работ  (2)'!C204</f>
        <v>257430</v>
      </c>
      <c r="M205" s="97">
        <v>0</v>
      </c>
      <c r="N205" s="97">
        <v>0</v>
      </c>
      <c r="O205" s="97">
        <v>0</v>
      </c>
      <c r="P205" s="97">
        <f t="shared" si="41"/>
        <v>257430</v>
      </c>
      <c r="Q205" s="97">
        <f t="shared" si="42"/>
        <v>395.9852330410706</v>
      </c>
      <c r="R205" s="97">
        <v>42000</v>
      </c>
      <c r="S205" s="55" t="s">
        <v>843</v>
      </c>
      <c r="T205" s="92" t="s">
        <v>773</v>
      </c>
      <c r="X205" s="190"/>
    </row>
    <row r="206" spans="1:24" s="186" customFormat="1" ht="15">
      <c r="A206" s="96">
        <f t="shared" si="43"/>
        <v>147</v>
      </c>
      <c r="B206" s="59" t="s">
        <v>202</v>
      </c>
      <c r="C206" s="39">
        <v>1967</v>
      </c>
      <c r="D206" s="188"/>
      <c r="E206" s="92" t="s">
        <v>94</v>
      </c>
      <c r="F206" s="95">
        <v>5</v>
      </c>
      <c r="G206" s="95">
        <v>4</v>
      </c>
      <c r="H206" s="97">
        <v>4045.1</v>
      </c>
      <c r="I206" s="97">
        <v>2053.9</v>
      </c>
      <c r="J206" s="97">
        <v>2060.7</v>
      </c>
      <c r="K206" s="96">
        <v>114</v>
      </c>
      <c r="L206" s="97">
        <f>'виды работ  (2)'!C205</f>
        <v>2590995</v>
      </c>
      <c r="M206" s="97">
        <v>0</v>
      </c>
      <c r="N206" s="97">
        <v>0</v>
      </c>
      <c r="O206" s="97">
        <v>0</v>
      </c>
      <c r="P206" s="97">
        <f t="shared" si="41"/>
        <v>2590995</v>
      </c>
      <c r="Q206" s="97">
        <f t="shared" si="42"/>
        <v>640.5268102148278</v>
      </c>
      <c r="R206" s="97">
        <v>42000</v>
      </c>
      <c r="S206" s="55" t="s">
        <v>843</v>
      </c>
      <c r="T206" s="92" t="s">
        <v>773</v>
      </c>
      <c r="X206" s="190"/>
    </row>
    <row r="207" spans="1:24" s="186" customFormat="1" ht="15">
      <c r="A207" s="96">
        <f t="shared" si="43"/>
        <v>148</v>
      </c>
      <c r="B207" s="13" t="s">
        <v>807</v>
      </c>
      <c r="C207" s="72">
        <v>2000</v>
      </c>
      <c r="D207" s="92"/>
      <c r="E207" s="92" t="s">
        <v>411</v>
      </c>
      <c r="F207" s="95">
        <v>6</v>
      </c>
      <c r="G207" s="95">
        <v>3</v>
      </c>
      <c r="H207" s="97">
        <v>5945.6</v>
      </c>
      <c r="I207" s="97">
        <v>4514</v>
      </c>
      <c r="J207" s="97">
        <f>4518.9-67.8</f>
        <v>4451.099999999999</v>
      </c>
      <c r="K207" s="96">
        <v>177</v>
      </c>
      <c r="L207" s="97">
        <f>'виды работ  (2)'!C206</f>
        <v>424265</v>
      </c>
      <c r="M207" s="97">
        <v>0</v>
      </c>
      <c r="N207" s="97">
        <v>0</v>
      </c>
      <c r="O207" s="97">
        <v>0</v>
      </c>
      <c r="P207" s="97">
        <f t="shared" si="41"/>
        <v>424265</v>
      </c>
      <c r="Q207" s="97">
        <f t="shared" si="42"/>
        <v>71.35781081808396</v>
      </c>
      <c r="R207" s="97">
        <v>42000</v>
      </c>
      <c r="S207" s="55" t="s">
        <v>843</v>
      </c>
      <c r="T207" s="92" t="s">
        <v>773</v>
      </c>
      <c r="X207" s="190"/>
    </row>
    <row r="208" spans="1:24" s="186" customFormat="1" ht="15">
      <c r="A208" s="96">
        <f t="shared" si="43"/>
        <v>149</v>
      </c>
      <c r="B208" s="59" t="s">
        <v>206</v>
      </c>
      <c r="C208" s="39">
        <v>2000</v>
      </c>
      <c r="D208" s="188"/>
      <c r="E208" s="92" t="s">
        <v>411</v>
      </c>
      <c r="F208" s="95">
        <v>5</v>
      </c>
      <c r="G208" s="95">
        <v>1</v>
      </c>
      <c r="H208" s="97">
        <v>1283</v>
      </c>
      <c r="I208" s="97">
        <v>1155</v>
      </c>
      <c r="J208" s="97">
        <v>1155</v>
      </c>
      <c r="K208" s="96">
        <v>53</v>
      </c>
      <c r="L208" s="97">
        <f>'виды работ  (2)'!C207</f>
        <v>216727</v>
      </c>
      <c r="M208" s="97">
        <v>0</v>
      </c>
      <c r="N208" s="97">
        <v>0</v>
      </c>
      <c r="O208" s="97">
        <v>0</v>
      </c>
      <c r="P208" s="97">
        <f t="shared" si="41"/>
        <v>216727</v>
      </c>
      <c r="Q208" s="97">
        <f t="shared" si="42"/>
        <v>168.92205767731878</v>
      </c>
      <c r="R208" s="97">
        <v>42000</v>
      </c>
      <c r="S208" s="55" t="s">
        <v>843</v>
      </c>
      <c r="T208" s="92" t="s">
        <v>773</v>
      </c>
      <c r="X208" s="190"/>
    </row>
    <row r="209" spans="1:24" s="186" customFormat="1" ht="15">
      <c r="A209" s="96">
        <f t="shared" si="43"/>
        <v>150</v>
      </c>
      <c r="B209" s="59" t="s">
        <v>207</v>
      </c>
      <c r="C209" s="39">
        <v>2000</v>
      </c>
      <c r="D209" s="188"/>
      <c r="E209" s="92" t="s">
        <v>411</v>
      </c>
      <c r="F209" s="95">
        <v>6</v>
      </c>
      <c r="G209" s="95">
        <v>3</v>
      </c>
      <c r="H209" s="97">
        <v>5048</v>
      </c>
      <c r="I209" s="97">
        <v>4530.4</v>
      </c>
      <c r="J209" s="97">
        <v>4530.4</v>
      </c>
      <c r="K209" s="96">
        <v>174</v>
      </c>
      <c r="L209" s="97">
        <f>'виды работ  (2)'!C208</f>
        <v>418131</v>
      </c>
      <c r="M209" s="97">
        <v>0</v>
      </c>
      <c r="N209" s="97">
        <v>0</v>
      </c>
      <c r="O209" s="97">
        <v>0</v>
      </c>
      <c r="P209" s="97">
        <f t="shared" si="41"/>
        <v>418131</v>
      </c>
      <c r="Q209" s="97">
        <f t="shared" si="42"/>
        <v>82.83102218700475</v>
      </c>
      <c r="R209" s="97">
        <v>42000</v>
      </c>
      <c r="S209" s="55" t="s">
        <v>843</v>
      </c>
      <c r="T209" s="92" t="s">
        <v>773</v>
      </c>
      <c r="X209" s="190"/>
    </row>
    <row r="210" spans="1:24" s="186" customFormat="1" ht="15">
      <c r="A210" s="96">
        <f t="shared" si="43"/>
        <v>151</v>
      </c>
      <c r="B210" s="89" t="s">
        <v>808</v>
      </c>
      <c r="C210" s="39">
        <v>1937</v>
      </c>
      <c r="D210" s="92"/>
      <c r="E210" s="92" t="s">
        <v>94</v>
      </c>
      <c r="F210" s="92">
        <v>4</v>
      </c>
      <c r="G210" s="92">
        <v>3</v>
      </c>
      <c r="H210" s="97">
        <v>2520.1</v>
      </c>
      <c r="I210" s="97">
        <f>J210+295.6</f>
        <v>2242.5</v>
      </c>
      <c r="J210" s="97">
        <v>1946.9</v>
      </c>
      <c r="K210" s="96">
        <v>94</v>
      </c>
      <c r="L210" s="97">
        <f>'виды работ  (2)'!C209</f>
        <v>633435</v>
      </c>
      <c r="M210" s="97">
        <v>0</v>
      </c>
      <c r="N210" s="97">
        <v>0</v>
      </c>
      <c r="O210" s="97">
        <v>0</v>
      </c>
      <c r="P210" s="97">
        <f t="shared" si="41"/>
        <v>633435</v>
      </c>
      <c r="Q210" s="97">
        <f t="shared" si="42"/>
        <v>251.3531209079005</v>
      </c>
      <c r="R210" s="97">
        <v>42000</v>
      </c>
      <c r="S210" s="55" t="s">
        <v>843</v>
      </c>
      <c r="T210" s="92" t="s">
        <v>773</v>
      </c>
      <c r="X210" s="190"/>
    </row>
    <row r="211" spans="1:24" s="186" customFormat="1" ht="15">
      <c r="A211" s="96">
        <f t="shared" si="43"/>
        <v>152</v>
      </c>
      <c r="B211" s="59" t="s">
        <v>212</v>
      </c>
      <c r="C211" s="39">
        <v>1936</v>
      </c>
      <c r="D211" s="188"/>
      <c r="E211" s="92" t="s">
        <v>94</v>
      </c>
      <c r="F211" s="95">
        <v>4</v>
      </c>
      <c r="G211" s="95">
        <v>3</v>
      </c>
      <c r="H211" s="97">
        <v>2510.6</v>
      </c>
      <c r="I211" s="97">
        <v>1951.6</v>
      </c>
      <c r="J211" s="97">
        <v>683.09</v>
      </c>
      <c r="K211" s="96">
        <v>120</v>
      </c>
      <c r="L211" s="97">
        <f>'виды работ  (2)'!C210</f>
        <v>588700</v>
      </c>
      <c r="M211" s="97">
        <v>0</v>
      </c>
      <c r="N211" s="97">
        <v>0</v>
      </c>
      <c r="O211" s="97">
        <v>0</v>
      </c>
      <c r="P211" s="97">
        <f t="shared" si="41"/>
        <v>588700</v>
      </c>
      <c r="Q211" s="97">
        <f t="shared" si="42"/>
        <v>234.48578029156377</v>
      </c>
      <c r="R211" s="97">
        <v>42000</v>
      </c>
      <c r="S211" s="55" t="s">
        <v>843</v>
      </c>
      <c r="T211" s="92" t="s">
        <v>773</v>
      </c>
      <c r="X211" s="190"/>
    </row>
    <row r="212" spans="1:24" s="41" customFormat="1" ht="21" customHeight="1">
      <c r="A212" s="96">
        <f t="shared" si="43"/>
        <v>153</v>
      </c>
      <c r="B212" s="59" t="s">
        <v>717</v>
      </c>
      <c r="C212" s="39">
        <v>1954</v>
      </c>
      <c r="D212" s="61"/>
      <c r="E212" s="92" t="s">
        <v>94</v>
      </c>
      <c r="F212" s="92">
        <v>4</v>
      </c>
      <c r="G212" s="92">
        <v>3</v>
      </c>
      <c r="H212" s="86">
        <v>2146.6</v>
      </c>
      <c r="I212" s="86">
        <v>1882</v>
      </c>
      <c r="J212" s="86">
        <v>542.2</v>
      </c>
      <c r="K212" s="10">
        <v>72</v>
      </c>
      <c r="L212" s="97">
        <f>'виды работ  (2)'!C211</f>
        <v>1372450</v>
      </c>
      <c r="M212" s="97">
        <v>0</v>
      </c>
      <c r="N212" s="97">
        <v>0</v>
      </c>
      <c r="O212" s="97">
        <v>0</v>
      </c>
      <c r="P212" s="97">
        <f t="shared" si="41"/>
        <v>1372450</v>
      </c>
      <c r="Q212" s="97">
        <f t="shared" si="42"/>
        <v>639.3599180098761</v>
      </c>
      <c r="R212" s="97">
        <v>42000</v>
      </c>
      <c r="S212" s="55" t="s">
        <v>843</v>
      </c>
      <c r="T212" s="92" t="s">
        <v>773</v>
      </c>
      <c r="X212" s="190"/>
    </row>
    <row r="213" spans="1:24" s="41" customFormat="1" ht="21" customHeight="1">
      <c r="A213" s="96">
        <f t="shared" si="43"/>
        <v>154</v>
      </c>
      <c r="B213" s="88" t="s">
        <v>718</v>
      </c>
      <c r="C213" s="39">
        <v>1954</v>
      </c>
      <c r="D213" s="61"/>
      <c r="E213" s="92" t="s">
        <v>94</v>
      </c>
      <c r="F213" s="92">
        <v>4</v>
      </c>
      <c r="G213" s="92">
        <v>3</v>
      </c>
      <c r="H213" s="86">
        <v>2762</v>
      </c>
      <c r="I213" s="86">
        <v>1962.17</v>
      </c>
      <c r="J213" s="86">
        <v>793.8</v>
      </c>
      <c r="K213" s="10">
        <v>116</v>
      </c>
      <c r="L213" s="97">
        <f>'виды работ  (2)'!C212</f>
        <v>1643720</v>
      </c>
      <c r="M213" s="97">
        <v>0</v>
      </c>
      <c r="N213" s="97">
        <v>0</v>
      </c>
      <c r="O213" s="97">
        <v>0</v>
      </c>
      <c r="P213" s="97">
        <f t="shared" si="41"/>
        <v>1643720</v>
      </c>
      <c r="Q213" s="97">
        <f t="shared" si="42"/>
        <v>595.1194786386676</v>
      </c>
      <c r="R213" s="97">
        <v>42000</v>
      </c>
      <c r="S213" s="55" t="s">
        <v>843</v>
      </c>
      <c r="T213" s="92" t="s">
        <v>773</v>
      </c>
      <c r="X213" s="190"/>
    </row>
    <row r="214" spans="1:24" s="186" customFormat="1" ht="15">
      <c r="A214" s="96">
        <f t="shared" si="43"/>
        <v>155</v>
      </c>
      <c r="B214" s="59" t="s">
        <v>203</v>
      </c>
      <c r="C214" s="39">
        <v>1987</v>
      </c>
      <c r="D214" s="188"/>
      <c r="E214" s="92" t="s">
        <v>411</v>
      </c>
      <c r="F214" s="95">
        <v>9</v>
      </c>
      <c r="G214" s="95">
        <v>7</v>
      </c>
      <c r="H214" s="97">
        <v>14420</v>
      </c>
      <c r="I214" s="97">
        <v>12576.73</v>
      </c>
      <c r="J214" s="97">
        <v>11732.43</v>
      </c>
      <c r="K214" s="96">
        <v>617</v>
      </c>
      <c r="L214" s="97">
        <f>'виды работ  (2)'!C213</f>
        <v>21160549</v>
      </c>
      <c r="M214" s="97">
        <v>0</v>
      </c>
      <c r="N214" s="97">
        <v>0</v>
      </c>
      <c r="O214" s="97">
        <v>0</v>
      </c>
      <c r="P214" s="97">
        <f t="shared" si="41"/>
        <v>21160549</v>
      </c>
      <c r="Q214" s="97">
        <f t="shared" si="42"/>
        <v>1467.444452149792</v>
      </c>
      <c r="R214" s="97">
        <v>42000</v>
      </c>
      <c r="S214" s="55" t="s">
        <v>843</v>
      </c>
      <c r="T214" s="92" t="s">
        <v>773</v>
      </c>
      <c r="X214" s="190"/>
    </row>
    <row r="215" spans="1:24" s="186" customFormat="1" ht="15">
      <c r="A215" s="96">
        <f t="shared" si="43"/>
        <v>156</v>
      </c>
      <c r="B215" s="59" t="s">
        <v>204</v>
      </c>
      <c r="C215" s="39">
        <v>1986</v>
      </c>
      <c r="D215" s="188"/>
      <c r="E215" s="92" t="s">
        <v>411</v>
      </c>
      <c r="F215" s="95">
        <v>9</v>
      </c>
      <c r="G215" s="95">
        <v>7</v>
      </c>
      <c r="H215" s="97">
        <v>14511.3</v>
      </c>
      <c r="I215" s="97">
        <v>12744.4</v>
      </c>
      <c r="J215" s="97">
        <v>12012.5</v>
      </c>
      <c r="K215" s="96">
        <v>700</v>
      </c>
      <c r="L215" s="97">
        <f>'виды работ  (2)'!C214</f>
        <v>21160549</v>
      </c>
      <c r="M215" s="97">
        <v>0</v>
      </c>
      <c r="N215" s="97">
        <v>0</v>
      </c>
      <c r="O215" s="97">
        <v>0</v>
      </c>
      <c r="P215" s="97">
        <f t="shared" si="41"/>
        <v>21160549</v>
      </c>
      <c r="Q215" s="97">
        <f t="shared" si="42"/>
        <v>1458.211807350134</v>
      </c>
      <c r="R215" s="97">
        <v>42000</v>
      </c>
      <c r="S215" s="55" t="s">
        <v>843</v>
      </c>
      <c r="T215" s="92" t="s">
        <v>773</v>
      </c>
      <c r="X215" s="190"/>
    </row>
    <row r="216" spans="1:24" s="186" customFormat="1" ht="15">
      <c r="A216" s="96">
        <f t="shared" si="43"/>
        <v>157</v>
      </c>
      <c r="B216" s="59" t="s">
        <v>211</v>
      </c>
      <c r="C216" s="39">
        <v>1971</v>
      </c>
      <c r="D216" s="188"/>
      <c r="E216" s="92" t="s">
        <v>411</v>
      </c>
      <c r="F216" s="95">
        <v>5</v>
      </c>
      <c r="G216" s="95">
        <v>5</v>
      </c>
      <c r="H216" s="97">
        <v>4844</v>
      </c>
      <c r="I216" s="97">
        <v>4479.9</v>
      </c>
      <c r="J216" s="97">
        <v>3772.2</v>
      </c>
      <c r="K216" s="96">
        <v>232</v>
      </c>
      <c r="L216" s="97">
        <f>'виды работ  (2)'!C215</f>
        <v>1504574</v>
      </c>
      <c r="M216" s="97">
        <v>0</v>
      </c>
      <c r="N216" s="97">
        <v>0</v>
      </c>
      <c r="O216" s="97">
        <v>0</v>
      </c>
      <c r="P216" s="97">
        <f t="shared" si="41"/>
        <v>1504574</v>
      </c>
      <c r="Q216" s="97">
        <f t="shared" si="42"/>
        <v>310.60569777043764</v>
      </c>
      <c r="R216" s="97">
        <v>42000</v>
      </c>
      <c r="S216" s="55" t="s">
        <v>843</v>
      </c>
      <c r="T216" s="92" t="s">
        <v>773</v>
      </c>
      <c r="X216" s="190"/>
    </row>
    <row r="217" spans="1:24" s="186" customFormat="1" ht="15">
      <c r="A217" s="96">
        <f t="shared" si="43"/>
        <v>158</v>
      </c>
      <c r="B217" s="13" t="s">
        <v>809</v>
      </c>
      <c r="C217" s="39">
        <v>1993</v>
      </c>
      <c r="D217" s="92"/>
      <c r="E217" s="92" t="s">
        <v>411</v>
      </c>
      <c r="F217" s="92">
        <v>10</v>
      </c>
      <c r="G217" s="92">
        <v>3</v>
      </c>
      <c r="H217" s="97">
        <v>7764.7</v>
      </c>
      <c r="I217" s="97">
        <v>6780.2</v>
      </c>
      <c r="J217" s="97">
        <v>5935.3</v>
      </c>
      <c r="K217" s="96">
        <v>305</v>
      </c>
      <c r="L217" s="97">
        <f>'виды работ  (2)'!C216</f>
        <v>1173648</v>
      </c>
      <c r="M217" s="97">
        <v>0</v>
      </c>
      <c r="N217" s="97">
        <v>0</v>
      </c>
      <c r="O217" s="97">
        <v>0</v>
      </c>
      <c r="P217" s="97">
        <f t="shared" si="41"/>
        <v>1173648</v>
      </c>
      <c r="Q217" s="97">
        <f t="shared" si="42"/>
        <v>151.15175087253854</v>
      </c>
      <c r="R217" s="97">
        <v>42000</v>
      </c>
      <c r="S217" s="55" t="s">
        <v>843</v>
      </c>
      <c r="T217" s="92" t="s">
        <v>773</v>
      </c>
      <c r="X217" s="190"/>
    </row>
    <row r="218" spans="1:24" s="186" customFormat="1" ht="15">
      <c r="A218" s="96">
        <f t="shared" si="43"/>
        <v>159</v>
      </c>
      <c r="B218" s="59" t="s">
        <v>209</v>
      </c>
      <c r="C218" s="39">
        <v>1971</v>
      </c>
      <c r="D218" s="188"/>
      <c r="E218" s="92" t="s">
        <v>411</v>
      </c>
      <c r="F218" s="95">
        <v>5</v>
      </c>
      <c r="G218" s="95">
        <v>6</v>
      </c>
      <c r="H218" s="97">
        <v>6004.2</v>
      </c>
      <c r="I218" s="97">
        <v>5589.3</v>
      </c>
      <c r="J218" s="97">
        <v>5246</v>
      </c>
      <c r="K218" s="96">
        <v>265</v>
      </c>
      <c r="L218" s="97">
        <f>'виды работ  (2)'!C217</f>
        <v>1852581</v>
      </c>
      <c r="M218" s="97">
        <v>0</v>
      </c>
      <c r="N218" s="97">
        <v>0</v>
      </c>
      <c r="O218" s="97">
        <v>0</v>
      </c>
      <c r="P218" s="97">
        <f t="shared" si="41"/>
        <v>1852581</v>
      </c>
      <c r="Q218" s="97">
        <f t="shared" si="42"/>
        <v>308.5475167382832</v>
      </c>
      <c r="R218" s="97">
        <v>42000</v>
      </c>
      <c r="S218" s="55" t="s">
        <v>843</v>
      </c>
      <c r="T218" s="92" t="s">
        <v>773</v>
      </c>
      <c r="X218" s="190"/>
    </row>
    <row r="219" spans="1:24" s="186" customFormat="1" ht="15">
      <c r="A219" s="96">
        <f t="shared" si="43"/>
        <v>160</v>
      </c>
      <c r="B219" s="59" t="s">
        <v>210</v>
      </c>
      <c r="C219" s="39">
        <v>1960</v>
      </c>
      <c r="D219" s="188"/>
      <c r="E219" s="92" t="s">
        <v>94</v>
      </c>
      <c r="F219" s="95">
        <v>2</v>
      </c>
      <c r="G219" s="95">
        <v>2</v>
      </c>
      <c r="H219" s="97">
        <v>711.6</v>
      </c>
      <c r="I219" s="97">
        <v>668.4</v>
      </c>
      <c r="J219" s="97">
        <v>552.8</v>
      </c>
      <c r="K219" s="96">
        <v>31</v>
      </c>
      <c r="L219" s="97">
        <f>'виды работ  (2)'!C218</f>
        <v>3234587</v>
      </c>
      <c r="M219" s="97">
        <v>0</v>
      </c>
      <c r="N219" s="97">
        <v>0</v>
      </c>
      <c r="O219" s="97">
        <v>0</v>
      </c>
      <c r="P219" s="97">
        <f t="shared" si="41"/>
        <v>3234587</v>
      </c>
      <c r="Q219" s="97">
        <f t="shared" si="42"/>
        <v>4545.51292861158</v>
      </c>
      <c r="R219" s="97">
        <v>42000</v>
      </c>
      <c r="S219" s="55" t="s">
        <v>843</v>
      </c>
      <c r="T219" s="92" t="s">
        <v>773</v>
      </c>
      <c r="X219" s="190"/>
    </row>
    <row r="220" spans="1:24" s="186" customFormat="1" ht="19.5" customHeight="1">
      <c r="A220" s="138" t="s">
        <v>597</v>
      </c>
      <c r="B220" s="139"/>
      <c r="C220" s="86" t="s">
        <v>430</v>
      </c>
      <c r="D220" s="86" t="s">
        <v>430</v>
      </c>
      <c r="E220" s="86" t="s">
        <v>430</v>
      </c>
      <c r="F220" s="86" t="s">
        <v>430</v>
      </c>
      <c r="G220" s="86" t="s">
        <v>430</v>
      </c>
      <c r="H220" s="97">
        <f>SUM(H201:H219)</f>
        <v>84131.9</v>
      </c>
      <c r="I220" s="97">
        <f aca="true" t="shared" si="44" ref="I220:P220">SUM(I201:I219)</f>
        <v>71189.29999999999</v>
      </c>
      <c r="J220" s="97">
        <f t="shared" si="44"/>
        <v>58827.17</v>
      </c>
      <c r="K220" s="96">
        <f t="shared" si="44"/>
        <v>3543</v>
      </c>
      <c r="L220" s="97">
        <f t="shared" si="44"/>
        <v>69413240</v>
      </c>
      <c r="M220" s="97">
        <f t="shared" si="44"/>
        <v>0</v>
      </c>
      <c r="N220" s="97">
        <f t="shared" si="44"/>
        <v>0</v>
      </c>
      <c r="O220" s="97">
        <f t="shared" si="44"/>
        <v>0</v>
      </c>
      <c r="P220" s="97">
        <f t="shared" si="44"/>
        <v>69413240</v>
      </c>
      <c r="Q220" s="97">
        <f>L220/H220</f>
        <v>825.0525662679673</v>
      </c>
      <c r="R220" s="56" t="s">
        <v>430</v>
      </c>
      <c r="S220" s="56" t="s">
        <v>430</v>
      </c>
      <c r="T220" s="56" t="s">
        <v>430</v>
      </c>
      <c r="U220" s="190"/>
      <c r="X220" s="190"/>
    </row>
    <row r="221" spans="1:24" s="41" customFormat="1" ht="19.5" customHeight="1">
      <c r="A221" s="172" t="s">
        <v>719</v>
      </c>
      <c r="B221" s="172"/>
      <c r="C221" s="172"/>
      <c r="D221" s="172"/>
      <c r="E221" s="172"/>
      <c r="F221" s="182"/>
      <c r="G221" s="182"/>
      <c r="H221" s="182"/>
      <c r="I221" s="182"/>
      <c r="J221" s="182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X221" s="190"/>
    </row>
    <row r="222" spans="1:24" s="41" customFormat="1" ht="20.25" customHeight="1">
      <c r="A222" s="10">
        <f>A219+1</f>
        <v>161</v>
      </c>
      <c r="B222" s="59" t="s">
        <v>720</v>
      </c>
      <c r="C222" s="92">
        <v>1953</v>
      </c>
      <c r="D222" s="92"/>
      <c r="E222" s="92" t="s">
        <v>465</v>
      </c>
      <c r="F222" s="92">
        <v>2</v>
      </c>
      <c r="G222" s="92">
        <v>1</v>
      </c>
      <c r="H222" s="86">
        <v>146.7</v>
      </c>
      <c r="I222" s="62">
        <v>137.5</v>
      </c>
      <c r="J222" s="86">
        <v>103.9</v>
      </c>
      <c r="K222" s="10">
        <v>12</v>
      </c>
      <c r="L222" s="86">
        <f>'виды работ  (2)'!C221</f>
        <v>416500</v>
      </c>
      <c r="M222" s="86">
        <v>0</v>
      </c>
      <c r="N222" s="86">
        <v>0</v>
      </c>
      <c r="O222" s="86">
        <v>0</v>
      </c>
      <c r="P222" s="86">
        <f>L222</f>
        <v>416500</v>
      </c>
      <c r="Q222" s="86">
        <f>L222/H222</f>
        <v>2839.127471029312</v>
      </c>
      <c r="R222" s="97">
        <v>42000</v>
      </c>
      <c r="S222" s="55" t="s">
        <v>843</v>
      </c>
      <c r="T222" s="92" t="s">
        <v>773</v>
      </c>
      <c r="X222" s="190"/>
    </row>
    <row r="223" spans="1:24" s="41" customFormat="1" ht="20.25" customHeight="1">
      <c r="A223" s="10">
        <f>A222+1</f>
        <v>162</v>
      </c>
      <c r="B223" s="59" t="s">
        <v>721</v>
      </c>
      <c r="C223" s="92">
        <v>1955</v>
      </c>
      <c r="D223" s="92"/>
      <c r="E223" s="92" t="s">
        <v>94</v>
      </c>
      <c r="F223" s="92">
        <v>2</v>
      </c>
      <c r="G223" s="92">
        <v>1</v>
      </c>
      <c r="H223" s="86">
        <v>518.2</v>
      </c>
      <c r="I223" s="86">
        <v>518.2</v>
      </c>
      <c r="J223" s="86">
        <v>399.6</v>
      </c>
      <c r="K223" s="10">
        <v>18</v>
      </c>
      <c r="L223" s="86">
        <f>'виды работ  (2)'!C222</f>
        <v>594523</v>
      </c>
      <c r="M223" s="86">
        <v>0</v>
      </c>
      <c r="N223" s="86">
        <v>0</v>
      </c>
      <c r="O223" s="86">
        <v>0</v>
      </c>
      <c r="P223" s="86">
        <f>L223</f>
        <v>594523</v>
      </c>
      <c r="Q223" s="86">
        <f>L223/H223</f>
        <v>1147.284832111154</v>
      </c>
      <c r="R223" s="97">
        <v>42000</v>
      </c>
      <c r="S223" s="55" t="s">
        <v>843</v>
      </c>
      <c r="T223" s="92" t="s">
        <v>773</v>
      </c>
      <c r="X223" s="190"/>
    </row>
    <row r="224" spans="1:24" s="41" customFormat="1" ht="20.25" customHeight="1">
      <c r="A224" s="10">
        <f>A223+1</f>
        <v>163</v>
      </c>
      <c r="B224" s="59" t="s">
        <v>722</v>
      </c>
      <c r="C224" s="92">
        <v>1959</v>
      </c>
      <c r="D224" s="92"/>
      <c r="E224" s="92" t="s">
        <v>465</v>
      </c>
      <c r="F224" s="92">
        <v>2</v>
      </c>
      <c r="G224" s="92">
        <v>3</v>
      </c>
      <c r="H224" s="86">
        <v>94.4</v>
      </c>
      <c r="I224" s="86">
        <v>94.4</v>
      </c>
      <c r="J224" s="86">
        <v>57.6</v>
      </c>
      <c r="K224" s="10">
        <v>5</v>
      </c>
      <c r="L224" s="86">
        <f>'виды работ  (2)'!C223</f>
        <v>349545</v>
      </c>
      <c r="M224" s="86">
        <v>0</v>
      </c>
      <c r="N224" s="86">
        <v>0</v>
      </c>
      <c r="O224" s="86">
        <v>0</v>
      </c>
      <c r="P224" s="86">
        <f>L224</f>
        <v>349545</v>
      </c>
      <c r="Q224" s="86">
        <f>L224/H224</f>
        <v>3702.80720338983</v>
      </c>
      <c r="R224" s="97">
        <v>42000</v>
      </c>
      <c r="S224" s="55" t="s">
        <v>843</v>
      </c>
      <c r="T224" s="92" t="s">
        <v>773</v>
      </c>
      <c r="X224" s="190"/>
    </row>
    <row r="225" spans="1:24" s="41" customFormat="1" ht="20.25" customHeight="1">
      <c r="A225" s="117" t="s">
        <v>597</v>
      </c>
      <c r="B225" s="117"/>
      <c r="C225" s="86" t="s">
        <v>430</v>
      </c>
      <c r="D225" s="86" t="s">
        <v>430</v>
      </c>
      <c r="E225" s="86" t="s">
        <v>430</v>
      </c>
      <c r="F225" s="86" t="s">
        <v>430</v>
      </c>
      <c r="G225" s="86" t="s">
        <v>430</v>
      </c>
      <c r="H225" s="86">
        <f aca="true" t="shared" si="45" ref="H225:P225">SUM(H222:H224)</f>
        <v>759.3000000000001</v>
      </c>
      <c r="I225" s="86">
        <f t="shared" si="45"/>
        <v>750.1</v>
      </c>
      <c r="J225" s="86">
        <f t="shared" si="45"/>
        <v>561.1</v>
      </c>
      <c r="K225" s="10">
        <f t="shared" si="45"/>
        <v>35</v>
      </c>
      <c r="L225" s="86">
        <f t="shared" si="45"/>
        <v>1360568</v>
      </c>
      <c r="M225" s="86">
        <f t="shared" si="45"/>
        <v>0</v>
      </c>
      <c r="N225" s="86">
        <f t="shared" si="45"/>
        <v>0</v>
      </c>
      <c r="O225" s="86">
        <f t="shared" si="45"/>
        <v>0</v>
      </c>
      <c r="P225" s="86">
        <f t="shared" si="45"/>
        <v>1360568</v>
      </c>
      <c r="Q225" s="86">
        <f>L225/H225</f>
        <v>1791.871460555775</v>
      </c>
      <c r="R225" s="56" t="s">
        <v>430</v>
      </c>
      <c r="S225" s="56" t="s">
        <v>430</v>
      </c>
      <c r="T225" s="56" t="s">
        <v>430</v>
      </c>
      <c r="U225" s="190"/>
      <c r="X225" s="190"/>
    </row>
    <row r="226" spans="1:24" s="186" customFormat="1" ht="21" customHeight="1">
      <c r="A226" s="140" t="s">
        <v>615</v>
      </c>
      <c r="B226" s="140"/>
      <c r="C226" s="140"/>
      <c r="D226" s="81" t="s">
        <v>430</v>
      </c>
      <c r="E226" s="81" t="s">
        <v>430</v>
      </c>
      <c r="F226" s="81" t="s">
        <v>430</v>
      </c>
      <c r="G226" s="81" t="s">
        <v>430</v>
      </c>
      <c r="H226" s="97">
        <f>H199+H220+H225+H193</f>
        <v>93535.04999999999</v>
      </c>
      <c r="I226" s="97">
        <f aca="true" t="shared" si="46" ref="I226:P226">I199+I220+I225+I193</f>
        <v>79340.57999999999</v>
      </c>
      <c r="J226" s="97">
        <f t="shared" si="46"/>
        <v>65860.87</v>
      </c>
      <c r="K226" s="96">
        <f t="shared" si="46"/>
        <v>3918</v>
      </c>
      <c r="L226" s="97">
        <f t="shared" si="46"/>
        <v>83193244</v>
      </c>
      <c r="M226" s="97">
        <f t="shared" si="46"/>
        <v>0</v>
      </c>
      <c r="N226" s="97">
        <f t="shared" si="46"/>
        <v>0</v>
      </c>
      <c r="O226" s="97">
        <f t="shared" si="46"/>
        <v>0</v>
      </c>
      <c r="P226" s="97">
        <f t="shared" si="46"/>
        <v>83193244</v>
      </c>
      <c r="Q226" s="97">
        <f>L226/H226</f>
        <v>889.4338967050321</v>
      </c>
      <c r="R226" s="56" t="s">
        <v>430</v>
      </c>
      <c r="S226" s="56" t="s">
        <v>430</v>
      </c>
      <c r="T226" s="56" t="s">
        <v>430</v>
      </c>
      <c r="U226" s="190"/>
      <c r="X226" s="190"/>
    </row>
    <row r="227" spans="1:24" s="186" customFormat="1" ht="15" customHeight="1">
      <c r="A227" s="179" t="s">
        <v>2</v>
      </c>
      <c r="B227" s="179"/>
      <c r="C227" s="179"/>
      <c r="D227" s="179"/>
      <c r="E227" s="179"/>
      <c r="F227" s="179"/>
      <c r="G227" s="179"/>
      <c r="H227" s="179"/>
      <c r="I227" s="179"/>
      <c r="J227" s="179"/>
      <c r="K227" s="179"/>
      <c r="L227" s="179"/>
      <c r="M227" s="179"/>
      <c r="N227" s="179"/>
      <c r="O227" s="179"/>
      <c r="P227" s="179"/>
      <c r="Q227" s="179"/>
      <c r="R227" s="179"/>
      <c r="S227" s="179"/>
      <c r="T227" s="179"/>
      <c r="X227" s="190"/>
    </row>
    <row r="228" spans="1:24" s="186" customFormat="1" ht="15" customHeight="1">
      <c r="A228" s="105" t="s">
        <v>617</v>
      </c>
      <c r="B228" s="110"/>
      <c r="C228" s="110"/>
      <c r="D228" s="110"/>
      <c r="E228" s="106"/>
      <c r="F228" s="178"/>
      <c r="G228" s="178"/>
      <c r="H228" s="178"/>
      <c r="I228" s="178"/>
      <c r="J228" s="178"/>
      <c r="K228" s="178"/>
      <c r="L228" s="178"/>
      <c r="M228" s="178"/>
      <c r="N228" s="178"/>
      <c r="O228" s="178"/>
      <c r="P228" s="178"/>
      <c r="Q228" s="178"/>
      <c r="R228" s="178"/>
      <c r="S228" s="178"/>
      <c r="T228" s="178"/>
      <c r="X228" s="190"/>
    </row>
    <row r="229" spans="1:24" s="186" customFormat="1" ht="15" customHeight="1">
      <c r="A229" s="96">
        <f>A224+1</f>
        <v>164</v>
      </c>
      <c r="B229" s="88" t="s">
        <v>227</v>
      </c>
      <c r="C229" s="95" t="s">
        <v>230</v>
      </c>
      <c r="D229" s="88"/>
      <c r="E229" s="92" t="s">
        <v>94</v>
      </c>
      <c r="F229" s="95">
        <v>5</v>
      </c>
      <c r="G229" s="95">
        <v>4</v>
      </c>
      <c r="H229" s="97">
        <v>2595.76</v>
      </c>
      <c r="I229" s="97">
        <v>2256.52</v>
      </c>
      <c r="J229" s="97">
        <v>1986.07</v>
      </c>
      <c r="K229" s="96">
        <v>72</v>
      </c>
      <c r="L229" s="97">
        <f>'виды работ  (2)'!C228</f>
        <v>1031268</v>
      </c>
      <c r="M229" s="97">
        <v>0</v>
      </c>
      <c r="N229" s="97">
        <v>0</v>
      </c>
      <c r="O229" s="97">
        <v>0</v>
      </c>
      <c r="P229" s="97">
        <f>L229</f>
        <v>1031268</v>
      </c>
      <c r="Q229" s="97">
        <f>L229/H229</f>
        <v>397.2894258328967</v>
      </c>
      <c r="R229" s="97">
        <v>42000</v>
      </c>
      <c r="S229" s="55" t="s">
        <v>843</v>
      </c>
      <c r="T229" s="92" t="s">
        <v>773</v>
      </c>
      <c r="X229" s="190"/>
    </row>
    <row r="230" spans="1:24" s="186" customFormat="1" ht="15" customHeight="1">
      <c r="A230" s="10">
        <f>A229+1</f>
        <v>165</v>
      </c>
      <c r="B230" s="13" t="s">
        <v>818</v>
      </c>
      <c r="C230" s="95">
        <v>1940</v>
      </c>
      <c r="D230" s="88"/>
      <c r="E230" s="92" t="s">
        <v>94</v>
      </c>
      <c r="F230" s="95">
        <v>7</v>
      </c>
      <c r="G230" s="95">
        <v>2</v>
      </c>
      <c r="H230" s="97">
        <v>2161.86</v>
      </c>
      <c r="I230" s="97">
        <v>2161.86</v>
      </c>
      <c r="J230" s="97">
        <v>1812</v>
      </c>
      <c r="K230" s="96">
        <v>78</v>
      </c>
      <c r="L230" s="97">
        <f>'виды работ  (2)'!C229</f>
        <v>5669558</v>
      </c>
      <c r="M230" s="97">
        <v>0</v>
      </c>
      <c r="N230" s="97">
        <v>0</v>
      </c>
      <c r="O230" s="97">
        <v>0</v>
      </c>
      <c r="P230" s="97">
        <f aca="true" t="shared" si="47" ref="P230:P240">L230</f>
        <v>5669558</v>
      </c>
      <c r="Q230" s="97">
        <f aca="true" t="shared" si="48" ref="Q230:Q240">L230/H230</f>
        <v>2622.537074556169</v>
      </c>
      <c r="R230" s="97">
        <v>42000</v>
      </c>
      <c r="S230" s="55" t="s">
        <v>843</v>
      </c>
      <c r="T230" s="92" t="s">
        <v>773</v>
      </c>
      <c r="X230" s="190"/>
    </row>
    <row r="231" spans="1:24" s="186" customFormat="1" ht="15" customHeight="1">
      <c r="A231" s="10">
        <f aca="true" t="shared" si="49" ref="A231:A240">A230+1</f>
        <v>166</v>
      </c>
      <c r="B231" s="59" t="s">
        <v>228</v>
      </c>
      <c r="C231" s="92">
        <v>1958</v>
      </c>
      <c r="D231" s="95"/>
      <c r="E231" s="92" t="s">
        <v>94</v>
      </c>
      <c r="F231" s="95">
        <v>4</v>
      </c>
      <c r="G231" s="95">
        <v>2</v>
      </c>
      <c r="H231" s="97">
        <v>1378.22</v>
      </c>
      <c r="I231" s="97">
        <v>1293.03</v>
      </c>
      <c r="J231" s="97">
        <v>1245.1</v>
      </c>
      <c r="K231" s="96">
        <v>55</v>
      </c>
      <c r="L231" s="97">
        <f>'виды работ  (2)'!C230</f>
        <v>2799136</v>
      </c>
      <c r="M231" s="97">
        <v>0</v>
      </c>
      <c r="N231" s="97">
        <v>0</v>
      </c>
      <c r="O231" s="97">
        <v>0</v>
      </c>
      <c r="P231" s="97">
        <f t="shared" si="47"/>
        <v>2799136</v>
      </c>
      <c r="Q231" s="97">
        <f t="shared" si="48"/>
        <v>2030.9790889698306</v>
      </c>
      <c r="R231" s="97">
        <v>42000</v>
      </c>
      <c r="S231" s="55" t="s">
        <v>843</v>
      </c>
      <c r="T231" s="92" t="s">
        <v>773</v>
      </c>
      <c r="X231" s="190"/>
    </row>
    <row r="232" spans="1:24" s="186" customFormat="1" ht="15" customHeight="1">
      <c r="A232" s="10">
        <f t="shared" si="49"/>
        <v>167</v>
      </c>
      <c r="B232" s="88" t="s">
        <v>229</v>
      </c>
      <c r="C232" s="92">
        <v>1963</v>
      </c>
      <c r="D232" s="95"/>
      <c r="E232" s="92" t="s">
        <v>94</v>
      </c>
      <c r="F232" s="95">
        <v>2</v>
      </c>
      <c r="G232" s="95">
        <v>1</v>
      </c>
      <c r="H232" s="97">
        <v>188.16</v>
      </c>
      <c r="I232" s="97">
        <v>151.86</v>
      </c>
      <c r="J232" s="97">
        <v>36.3</v>
      </c>
      <c r="K232" s="96">
        <v>12</v>
      </c>
      <c r="L232" s="97">
        <f>'виды работ  (2)'!C231</f>
        <v>780539</v>
      </c>
      <c r="M232" s="97">
        <v>0</v>
      </c>
      <c r="N232" s="97">
        <v>0</v>
      </c>
      <c r="O232" s="97">
        <v>0</v>
      </c>
      <c r="P232" s="97">
        <f t="shared" si="47"/>
        <v>780539</v>
      </c>
      <c r="Q232" s="97">
        <f t="shared" si="48"/>
        <v>4148.27274659864</v>
      </c>
      <c r="R232" s="97">
        <v>42000</v>
      </c>
      <c r="S232" s="55" t="s">
        <v>843</v>
      </c>
      <c r="T232" s="92" t="s">
        <v>773</v>
      </c>
      <c r="X232" s="190"/>
    </row>
    <row r="233" spans="1:24" s="186" customFormat="1" ht="15" customHeight="1">
      <c r="A233" s="10">
        <f t="shared" si="49"/>
        <v>168</v>
      </c>
      <c r="B233" s="88" t="s">
        <v>225</v>
      </c>
      <c r="C233" s="92">
        <v>1959</v>
      </c>
      <c r="D233" s="95"/>
      <c r="E233" s="92" t="s">
        <v>94</v>
      </c>
      <c r="F233" s="95">
        <v>2</v>
      </c>
      <c r="G233" s="95">
        <v>2</v>
      </c>
      <c r="H233" s="97">
        <v>447</v>
      </c>
      <c r="I233" s="97">
        <v>447</v>
      </c>
      <c r="J233" s="97">
        <v>356.8</v>
      </c>
      <c r="K233" s="96">
        <v>24</v>
      </c>
      <c r="L233" s="97">
        <f>'виды работ  (2)'!C232</f>
        <v>1749892</v>
      </c>
      <c r="M233" s="97">
        <v>0</v>
      </c>
      <c r="N233" s="97">
        <v>0</v>
      </c>
      <c r="O233" s="97">
        <v>0</v>
      </c>
      <c r="P233" s="97">
        <f t="shared" si="47"/>
        <v>1749892</v>
      </c>
      <c r="Q233" s="97">
        <f t="shared" si="48"/>
        <v>3914.7472035794185</v>
      </c>
      <c r="R233" s="97">
        <v>42000</v>
      </c>
      <c r="S233" s="55" t="s">
        <v>843</v>
      </c>
      <c r="T233" s="92" t="s">
        <v>773</v>
      </c>
      <c r="X233" s="190"/>
    </row>
    <row r="234" spans="1:24" s="186" customFormat="1" ht="15" customHeight="1">
      <c r="A234" s="10">
        <f t="shared" si="49"/>
        <v>169</v>
      </c>
      <c r="B234" s="88" t="s">
        <v>226</v>
      </c>
      <c r="C234" s="92">
        <v>1940</v>
      </c>
      <c r="D234" s="95"/>
      <c r="E234" s="92" t="s">
        <v>94</v>
      </c>
      <c r="F234" s="95">
        <v>7</v>
      </c>
      <c r="G234" s="95">
        <v>2</v>
      </c>
      <c r="H234" s="97">
        <v>2285.03</v>
      </c>
      <c r="I234" s="97">
        <v>2246.6</v>
      </c>
      <c r="J234" s="97">
        <v>2136.8</v>
      </c>
      <c r="K234" s="96">
        <v>95</v>
      </c>
      <c r="L234" s="97">
        <f>'виды работ  (2)'!C233</f>
        <v>3022641</v>
      </c>
      <c r="M234" s="97">
        <v>0</v>
      </c>
      <c r="N234" s="97">
        <v>0</v>
      </c>
      <c r="O234" s="97">
        <v>0</v>
      </c>
      <c r="P234" s="97">
        <f t="shared" si="47"/>
        <v>3022641</v>
      </c>
      <c r="Q234" s="97">
        <f t="shared" si="48"/>
        <v>1322.8014511844483</v>
      </c>
      <c r="R234" s="97">
        <v>42000</v>
      </c>
      <c r="S234" s="55" t="s">
        <v>843</v>
      </c>
      <c r="T234" s="92" t="s">
        <v>773</v>
      </c>
      <c r="X234" s="190"/>
    </row>
    <row r="235" spans="1:24" s="43" customFormat="1" ht="15">
      <c r="A235" s="10">
        <f t="shared" si="49"/>
        <v>170</v>
      </c>
      <c r="B235" s="59" t="s">
        <v>723</v>
      </c>
      <c r="C235" s="92">
        <v>1940</v>
      </c>
      <c r="D235" s="92"/>
      <c r="E235" s="92" t="s">
        <v>94</v>
      </c>
      <c r="F235" s="92">
        <v>7</v>
      </c>
      <c r="G235" s="92">
        <v>1</v>
      </c>
      <c r="H235" s="86">
        <v>2222.62</v>
      </c>
      <c r="I235" s="86">
        <v>2041.5</v>
      </c>
      <c r="J235" s="86">
        <v>1366.71</v>
      </c>
      <c r="K235" s="10">
        <v>87</v>
      </c>
      <c r="L235" s="97">
        <f>'виды работ  (2)'!C234</f>
        <v>8227643</v>
      </c>
      <c r="M235" s="97">
        <v>0</v>
      </c>
      <c r="N235" s="97">
        <v>0</v>
      </c>
      <c r="O235" s="97">
        <v>0</v>
      </c>
      <c r="P235" s="97">
        <f t="shared" si="47"/>
        <v>8227643</v>
      </c>
      <c r="Q235" s="97">
        <f t="shared" si="48"/>
        <v>3701.7767319649784</v>
      </c>
      <c r="R235" s="97">
        <v>42000</v>
      </c>
      <c r="S235" s="55" t="s">
        <v>843</v>
      </c>
      <c r="T235" s="92" t="s">
        <v>773</v>
      </c>
      <c r="U235" s="42"/>
      <c r="X235" s="190"/>
    </row>
    <row r="236" spans="1:24" s="186" customFormat="1" ht="15" customHeight="1">
      <c r="A236" s="10">
        <f t="shared" si="49"/>
        <v>171</v>
      </c>
      <c r="B236" s="88" t="s">
        <v>224</v>
      </c>
      <c r="C236" s="92" t="s">
        <v>230</v>
      </c>
      <c r="D236" s="95"/>
      <c r="E236" s="92" t="s">
        <v>94</v>
      </c>
      <c r="F236" s="95">
        <v>6</v>
      </c>
      <c r="G236" s="95">
        <v>3</v>
      </c>
      <c r="H236" s="97">
        <v>4757.71</v>
      </c>
      <c r="I236" s="97">
        <v>4757.71</v>
      </c>
      <c r="J236" s="97">
        <v>3887.42</v>
      </c>
      <c r="K236" s="96">
        <v>116</v>
      </c>
      <c r="L236" s="97">
        <f>'виды работ  (2)'!C235</f>
        <v>4944824</v>
      </c>
      <c r="M236" s="97">
        <v>0</v>
      </c>
      <c r="N236" s="97">
        <v>0</v>
      </c>
      <c r="O236" s="97">
        <v>0</v>
      </c>
      <c r="P236" s="97">
        <f t="shared" si="47"/>
        <v>4944824</v>
      </c>
      <c r="Q236" s="97">
        <f t="shared" si="48"/>
        <v>1039.3285845501302</v>
      </c>
      <c r="R236" s="97">
        <v>42000</v>
      </c>
      <c r="S236" s="55" t="s">
        <v>843</v>
      </c>
      <c r="T236" s="92" t="s">
        <v>773</v>
      </c>
      <c r="X236" s="190"/>
    </row>
    <row r="237" spans="1:24" s="43" customFormat="1" ht="15">
      <c r="A237" s="10">
        <f t="shared" si="49"/>
        <v>172</v>
      </c>
      <c r="B237" s="59" t="s">
        <v>724</v>
      </c>
      <c r="C237" s="92">
        <v>1940</v>
      </c>
      <c r="D237" s="92"/>
      <c r="E237" s="92" t="s">
        <v>94</v>
      </c>
      <c r="F237" s="92">
        <v>4</v>
      </c>
      <c r="G237" s="92">
        <v>1</v>
      </c>
      <c r="H237" s="86">
        <v>739.38</v>
      </c>
      <c r="I237" s="86">
        <v>739.38</v>
      </c>
      <c r="J237" s="86">
        <v>454.03</v>
      </c>
      <c r="K237" s="10">
        <v>30</v>
      </c>
      <c r="L237" s="97">
        <f>'виды работ  (2)'!C236</f>
        <v>5382546</v>
      </c>
      <c r="M237" s="97">
        <v>0</v>
      </c>
      <c r="N237" s="97">
        <v>0</v>
      </c>
      <c r="O237" s="97">
        <v>0</v>
      </c>
      <c r="P237" s="97">
        <f t="shared" si="47"/>
        <v>5382546</v>
      </c>
      <c r="Q237" s="97">
        <f t="shared" si="48"/>
        <v>7279.810111174227</v>
      </c>
      <c r="R237" s="97">
        <v>42000</v>
      </c>
      <c r="S237" s="55" t="s">
        <v>843</v>
      </c>
      <c r="T237" s="92" t="s">
        <v>773</v>
      </c>
      <c r="U237" s="42"/>
      <c r="X237" s="190"/>
    </row>
    <row r="238" spans="1:24" s="43" customFormat="1" ht="15">
      <c r="A238" s="10">
        <f t="shared" si="49"/>
        <v>173</v>
      </c>
      <c r="B238" s="88" t="s">
        <v>725</v>
      </c>
      <c r="C238" s="92">
        <v>1954</v>
      </c>
      <c r="D238" s="92"/>
      <c r="E238" s="92" t="s">
        <v>94</v>
      </c>
      <c r="F238" s="92">
        <v>3</v>
      </c>
      <c r="G238" s="92">
        <v>2</v>
      </c>
      <c r="H238" s="86">
        <v>1228</v>
      </c>
      <c r="I238" s="86">
        <v>1000.01</v>
      </c>
      <c r="J238" s="86">
        <v>632.89</v>
      </c>
      <c r="K238" s="10">
        <v>43</v>
      </c>
      <c r="L238" s="97">
        <f>'виды работ  (2)'!C237</f>
        <v>5401901</v>
      </c>
      <c r="M238" s="97">
        <v>0</v>
      </c>
      <c r="N238" s="97">
        <v>0</v>
      </c>
      <c r="O238" s="97">
        <v>0</v>
      </c>
      <c r="P238" s="97">
        <f t="shared" si="47"/>
        <v>5401901</v>
      </c>
      <c r="Q238" s="97">
        <f t="shared" si="48"/>
        <v>4398.942182410424</v>
      </c>
      <c r="R238" s="97">
        <v>42000</v>
      </c>
      <c r="S238" s="55" t="s">
        <v>843</v>
      </c>
      <c r="T238" s="92" t="s">
        <v>773</v>
      </c>
      <c r="U238" s="42"/>
      <c r="X238" s="190"/>
    </row>
    <row r="239" spans="1:24" s="186" customFormat="1" ht="15" customHeight="1">
      <c r="A239" s="10">
        <f t="shared" si="49"/>
        <v>174</v>
      </c>
      <c r="B239" s="13" t="s">
        <v>805</v>
      </c>
      <c r="C239" s="95">
        <v>1976</v>
      </c>
      <c r="D239" s="88"/>
      <c r="E239" s="92" t="s">
        <v>411</v>
      </c>
      <c r="F239" s="95">
        <v>9</v>
      </c>
      <c r="G239" s="95">
        <v>4</v>
      </c>
      <c r="H239" s="97">
        <v>7907.28</v>
      </c>
      <c r="I239" s="97">
        <v>5050.34</v>
      </c>
      <c r="J239" s="97">
        <v>3529.04</v>
      </c>
      <c r="K239" s="96">
        <v>386</v>
      </c>
      <c r="L239" s="97">
        <f>'виды работ  (2)'!C238</f>
        <v>8736189</v>
      </c>
      <c r="M239" s="97">
        <v>0</v>
      </c>
      <c r="N239" s="97">
        <v>0</v>
      </c>
      <c r="O239" s="97">
        <v>0</v>
      </c>
      <c r="P239" s="97">
        <f t="shared" si="47"/>
        <v>8736189</v>
      </c>
      <c r="Q239" s="97">
        <f t="shared" si="48"/>
        <v>1104.8285883388473</v>
      </c>
      <c r="R239" s="97">
        <v>42000</v>
      </c>
      <c r="S239" s="55" t="s">
        <v>843</v>
      </c>
      <c r="T239" s="92" t="s">
        <v>773</v>
      </c>
      <c r="X239" s="190"/>
    </row>
    <row r="240" spans="1:24" s="186" customFormat="1" ht="15" customHeight="1">
      <c r="A240" s="10">
        <f t="shared" si="49"/>
        <v>175</v>
      </c>
      <c r="B240" s="59" t="s">
        <v>223</v>
      </c>
      <c r="C240" s="92">
        <v>1904</v>
      </c>
      <c r="D240" s="95"/>
      <c r="E240" s="92" t="s">
        <v>94</v>
      </c>
      <c r="F240" s="95">
        <v>6</v>
      </c>
      <c r="G240" s="95">
        <v>3</v>
      </c>
      <c r="H240" s="97">
        <v>1870.9</v>
      </c>
      <c r="I240" s="97">
        <v>1453.7</v>
      </c>
      <c r="J240" s="97">
        <v>1304.8</v>
      </c>
      <c r="K240" s="96">
        <v>44</v>
      </c>
      <c r="L240" s="97">
        <f>'виды работ  (2)'!C239</f>
        <v>1637539</v>
      </c>
      <c r="M240" s="97">
        <v>0</v>
      </c>
      <c r="N240" s="97">
        <v>0</v>
      </c>
      <c r="O240" s="97">
        <v>0</v>
      </c>
      <c r="P240" s="97">
        <f t="shared" si="47"/>
        <v>1637539</v>
      </c>
      <c r="Q240" s="97">
        <f t="shared" si="48"/>
        <v>875.2680528088085</v>
      </c>
      <c r="R240" s="97">
        <v>42000</v>
      </c>
      <c r="S240" s="55" t="s">
        <v>843</v>
      </c>
      <c r="T240" s="92" t="s">
        <v>773</v>
      </c>
      <c r="X240" s="190"/>
    </row>
    <row r="241" spans="1:24" s="186" customFormat="1" ht="15" customHeight="1">
      <c r="A241" s="117" t="s">
        <v>597</v>
      </c>
      <c r="B241" s="117"/>
      <c r="C241" s="86" t="s">
        <v>430</v>
      </c>
      <c r="D241" s="86" t="s">
        <v>430</v>
      </c>
      <c r="E241" s="86" t="s">
        <v>430</v>
      </c>
      <c r="F241" s="86" t="s">
        <v>430</v>
      </c>
      <c r="G241" s="86" t="s">
        <v>430</v>
      </c>
      <c r="H241" s="97">
        <f>SUM(H229:H240)</f>
        <v>27781.920000000002</v>
      </c>
      <c r="I241" s="97">
        <f aca="true" t="shared" si="50" ref="I241:P241">SUM(I229:I240)</f>
        <v>23599.51</v>
      </c>
      <c r="J241" s="97">
        <f t="shared" si="50"/>
        <v>18747.96</v>
      </c>
      <c r="K241" s="96">
        <f t="shared" si="50"/>
        <v>1042</v>
      </c>
      <c r="L241" s="97">
        <f t="shared" si="50"/>
        <v>49383676</v>
      </c>
      <c r="M241" s="97">
        <f t="shared" si="50"/>
        <v>0</v>
      </c>
      <c r="N241" s="97">
        <f t="shared" si="50"/>
        <v>0</v>
      </c>
      <c r="O241" s="97">
        <f t="shared" si="50"/>
        <v>0</v>
      </c>
      <c r="P241" s="97">
        <f t="shared" si="50"/>
        <v>49383676</v>
      </c>
      <c r="Q241" s="97">
        <f>L241/H241</f>
        <v>1777.5472681513731</v>
      </c>
      <c r="R241" s="56" t="s">
        <v>430</v>
      </c>
      <c r="S241" s="56" t="s">
        <v>430</v>
      </c>
      <c r="T241" s="56" t="s">
        <v>430</v>
      </c>
      <c r="U241" s="190"/>
      <c r="X241" s="190"/>
    </row>
    <row r="242" spans="1:24" s="186" customFormat="1" ht="15" customHeight="1">
      <c r="A242" s="105" t="s">
        <v>618</v>
      </c>
      <c r="B242" s="110"/>
      <c r="C242" s="110"/>
      <c r="D242" s="110"/>
      <c r="E242" s="106"/>
      <c r="F242" s="178"/>
      <c r="G242" s="178"/>
      <c r="H242" s="178"/>
      <c r="I242" s="178"/>
      <c r="J242" s="178"/>
      <c r="K242" s="178"/>
      <c r="L242" s="178"/>
      <c r="M242" s="178"/>
      <c r="N242" s="178"/>
      <c r="O242" s="178"/>
      <c r="P242" s="178"/>
      <c r="Q242" s="178"/>
      <c r="R242" s="178"/>
      <c r="S242" s="178"/>
      <c r="T242" s="178"/>
      <c r="X242" s="190"/>
    </row>
    <row r="243" spans="1:24" s="186" customFormat="1" ht="15">
      <c r="A243" s="10">
        <f>A240+1</f>
        <v>176</v>
      </c>
      <c r="B243" s="59" t="s">
        <v>244</v>
      </c>
      <c r="C243" s="92">
        <v>1954</v>
      </c>
      <c r="D243" s="95"/>
      <c r="E243" s="92" t="s">
        <v>94</v>
      </c>
      <c r="F243" s="95">
        <v>2</v>
      </c>
      <c r="G243" s="95">
        <v>1</v>
      </c>
      <c r="H243" s="97">
        <v>328.3</v>
      </c>
      <c r="I243" s="97">
        <v>234.9</v>
      </c>
      <c r="J243" s="97">
        <v>151</v>
      </c>
      <c r="K243" s="96">
        <v>16</v>
      </c>
      <c r="L243" s="97">
        <f>'виды работ  (2)'!C242</f>
        <v>1109330</v>
      </c>
      <c r="M243" s="97">
        <v>0</v>
      </c>
      <c r="N243" s="97">
        <v>0</v>
      </c>
      <c r="O243" s="97">
        <v>0</v>
      </c>
      <c r="P243" s="97">
        <f aca="true" t="shared" si="51" ref="P243:P258">L243</f>
        <v>1109330</v>
      </c>
      <c r="Q243" s="97">
        <f aca="true" t="shared" si="52" ref="Q243:Q259">L243/H243</f>
        <v>3379.013097776424</v>
      </c>
      <c r="R243" s="97">
        <v>42000</v>
      </c>
      <c r="S243" s="55" t="s">
        <v>843</v>
      </c>
      <c r="T243" s="92" t="s">
        <v>773</v>
      </c>
      <c r="X243" s="190"/>
    </row>
    <row r="244" spans="1:24" s="186" customFormat="1" ht="15">
      <c r="A244" s="10">
        <f aca="true" t="shared" si="53" ref="A244:A258">A243+1</f>
        <v>177</v>
      </c>
      <c r="B244" s="199" t="s">
        <v>245</v>
      </c>
      <c r="C244" s="92">
        <v>1950</v>
      </c>
      <c r="D244" s="95"/>
      <c r="E244" s="92" t="s">
        <v>94</v>
      </c>
      <c r="F244" s="95">
        <v>2</v>
      </c>
      <c r="G244" s="95">
        <v>2</v>
      </c>
      <c r="H244" s="97">
        <v>475.2</v>
      </c>
      <c r="I244" s="97">
        <v>422.7</v>
      </c>
      <c r="J244" s="97">
        <v>150.5</v>
      </c>
      <c r="K244" s="96">
        <v>26</v>
      </c>
      <c r="L244" s="97">
        <f>'виды работ  (2)'!C243</f>
        <v>111430</v>
      </c>
      <c r="M244" s="97">
        <v>0</v>
      </c>
      <c r="N244" s="97">
        <v>0</v>
      </c>
      <c r="O244" s="97">
        <v>0</v>
      </c>
      <c r="P244" s="97">
        <f t="shared" si="51"/>
        <v>111430</v>
      </c>
      <c r="Q244" s="97">
        <f t="shared" si="52"/>
        <v>234.49074074074073</v>
      </c>
      <c r="R244" s="97">
        <v>42000</v>
      </c>
      <c r="S244" s="55" t="s">
        <v>843</v>
      </c>
      <c r="T244" s="92" t="s">
        <v>773</v>
      </c>
      <c r="X244" s="190"/>
    </row>
    <row r="245" spans="1:24" s="186" customFormat="1" ht="15">
      <c r="A245" s="10">
        <f t="shared" si="53"/>
        <v>178</v>
      </c>
      <c r="B245" s="199" t="s">
        <v>243</v>
      </c>
      <c r="C245" s="92">
        <v>1970</v>
      </c>
      <c r="D245" s="95"/>
      <c r="E245" s="92" t="s">
        <v>94</v>
      </c>
      <c r="F245" s="95">
        <v>5</v>
      </c>
      <c r="G245" s="95">
        <v>2</v>
      </c>
      <c r="H245" s="97">
        <v>2090.1</v>
      </c>
      <c r="I245" s="97">
        <v>1761.2</v>
      </c>
      <c r="J245" s="97">
        <v>1560.81</v>
      </c>
      <c r="K245" s="96">
        <v>52</v>
      </c>
      <c r="L245" s="97">
        <f>'виды работ  (2)'!C244</f>
        <v>2534995</v>
      </c>
      <c r="M245" s="97">
        <v>0</v>
      </c>
      <c r="N245" s="97">
        <v>0</v>
      </c>
      <c r="O245" s="97">
        <v>0</v>
      </c>
      <c r="P245" s="97">
        <f t="shared" si="51"/>
        <v>2534995</v>
      </c>
      <c r="Q245" s="97">
        <f t="shared" si="52"/>
        <v>1212.858236448017</v>
      </c>
      <c r="R245" s="97">
        <v>42000</v>
      </c>
      <c r="S245" s="55" t="s">
        <v>843</v>
      </c>
      <c r="T245" s="92" t="s">
        <v>773</v>
      </c>
      <c r="X245" s="190"/>
    </row>
    <row r="246" spans="1:24" s="186" customFormat="1" ht="15">
      <c r="A246" s="10">
        <f t="shared" si="53"/>
        <v>179</v>
      </c>
      <c r="B246" s="199" t="s">
        <v>774</v>
      </c>
      <c r="C246" s="95">
        <v>1949</v>
      </c>
      <c r="D246" s="95"/>
      <c r="E246" s="92" t="s">
        <v>465</v>
      </c>
      <c r="F246" s="95">
        <v>2</v>
      </c>
      <c r="G246" s="95">
        <v>2</v>
      </c>
      <c r="H246" s="97">
        <v>279.9</v>
      </c>
      <c r="I246" s="97">
        <v>263.4</v>
      </c>
      <c r="J246" s="97">
        <v>63.9</v>
      </c>
      <c r="K246" s="96">
        <v>9</v>
      </c>
      <c r="L246" s="97">
        <f>'виды работ  (2)'!C245</f>
        <v>662050</v>
      </c>
      <c r="M246" s="97">
        <v>0</v>
      </c>
      <c r="N246" s="97">
        <v>0</v>
      </c>
      <c r="O246" s="97">
        <v>0</v>
      </c>
      <c r="P246" s="97">
        <f t="shared" si="51"/>
        <v>662050</v>
      </c>
      <c r="Q246" s="97">
        <f t="shared" si="52"/>
        <v>2365.3090389424797</v>
      </c>
      <c r="R246" s="97">
        <v>42000</v>
      </c>
      <c r="S246" s="55" t="s">
        <v>843</v>
      </c>
      <c r="T246" s="92" t="s">
        <v>773</v>
      </c>
      <c r="X246" s="190"/>
    </row>
    <row r="247" spans="1:24" s="186" customFormat="1" ht="15">
      <c r="A247" s="10">
        <f t="shared" si="53"/>
        <v>180</v>
      </c>
      <c r="B247" s="199" t="s">
        <v>242</v>
      </c>
      <c r="C247" s="92">
        <v>1953</v>
      </c>
      <c r="D247" s="95"/>
      <c r="E247" s="92" t="s">
        <v>94</v>
      </c>
      <c r="F247" s="95">
        <v>2</v>
      </c>
      <c r="G247" s="95">
        <v>1</v>
      </c>
      <c r="H247" s="97">
        <v>247.91</v>
      </c>
      <c r="I247" s="97">
        <v>213.91</v>
      </c>
      <c r="J247" s="97">
        <v>53.3</v>
      </c>
      <c r="K247" s="96">
        <v>3</v>
      </c>
      <c r="L247" s="97">
        <f>'виды работ  (2)'!C246</f>
        <v>1030330</v>
      </c>
      <c r="M247" s="97">
        <v>0</v>
      </c>
      <c r="N247" s="97">
        <v>0</v>
      </c>
      <c r="O247" s="97">
        <v>0</v>
      </c>
      <c r="P247" s="97">
        <f t="shared" si="51"/>
        <v>1030330</v>
      </c>
      <c r="Q247" s="97">
        <f t="shared" si="52"/>
        <v>4156.06470089952</v>
      </c>
      <c r="R247" s="97">
        <v>42000</v>
      </c>
      <c r="S247" s="55" t="s">
        <v>843</v>
      </c>
      <c r="T247" s="92" t="s">
        <v>773</v>
      </c>
      <c r="X247" s="190"/>
    </row>
    <row r="248" spans="1:24" s="186" customFormat="1" ht="15">
      <c r="A248" s="10">
        <f t="shared" si="53"/>
        <v>181</v>
      </c>
      <c r="B248" s="199" t="s">
        <v>236</v>
      </c>
      <c r="C248" s="92">
        <v>1962</v>
      </c>
      <c r="D248" s="95"/>
      <c r="E248" s="92" t="s">
        <v>94</v>
      </c>
      <c r="F248" s="95">
        <v>2</v>
      </c>
      <c r="G248" s="95">
        <v>2</v>
      </c>
      <c r="H248" s="97">
        <v>453.3</v>
      </c>
      <c r="I248" s="97">
        <v>333</v>
      </c>
      <c r="J248" s="97">
        <v>261.9</v>
      </c>
      <c r="K248" s="96">
        <v>18</v>
      </c>
      <c r="L248" s="97">
        <f>'виды работ  (2)'!C247</f>
        <v>1804688</v>
      </c>
      <c r="M248" s="97">
        <v>0</v>
      </c>
      <c r="N248" s="97">
        <v>0</v>
      </c>
      <c r="O248" s="97">
        <v>0</v>
      </c>
      <c r="P248" s="97">
        <f t="shared" si="51"/>
        <v>1804688</v>
      </c>
      <c r="Q248" s="97">
        <f t="shared" si="52"/>
        <v>3981.222148687403</v>
      </c>
      <c r="R248" s="97">
        <v>42000</v>
      </c>
      <c r="S248" s="55" t="s">
        <v>843</v>
      </c>
      <c r="T248" s="92" t="s">
        <v>773</v>
      </c>
      <c r="X248" s="190"/>
    </row>
    <row r="249" spans="1:24" s="186" customFormat="1" ht="15">
      <c r="A249" s="10">
        <f t="shared" si="53"/>
        <v>182</v>
      </c>
      <c r="B249" s="199" t="s">
        <v>237</v>
      </c>
      <c r="C249" s="92">
        <v>1967</v>
      </c>
      <c r="D249" s="95"/>
      <c r="E249" s="92" t="s">
        <v>94</v>
      </c>
      <c r="F249" s="95">
        <v>2</v>
      </c>
      <c r="G249" s="95">
        <v>2</v>
      </c>
      <c r="H249" s="97">
        <v>535.4</v>
      </c>
      <c r="I249" s="97">
        <v>459.4</v>
      </c>
      <c r="J249" s="97">
        <v>422.87</v>
      </c>
      <c r="K249" s="96">
        <v>29</v>
      </c>
      <c r="L249" s="97">
        <f>'виды работ  (2)'!C248</f>
        <v>107367</v>
      </c>
      <c r="M249" s="97">
        <v>0</v>
      </c>
      <c r="N249" s="97">
        <v>0</v>
      </c>
      <c r="O249" s="97">
        <v>0</v>
      </c>
      <c r="P249" s="97">
        <f t="shared" si="51"/>
        <v>107367</v>
      </c>
      <c r="Q249" s="97">
        <f t="shared" si="52"/>
        <v>200.536047814718</v>
      </c>
      <c r="R249" s="97">
        <v>42000</v>
      </c>
      <c r="S249" s="55" t="s">
        <v>843</v>
      </c>
      <c r="T249" s="92" t="s">
        <v>773</v>
      </c>
      <c r="X249" s="190"/>
    </row>
    <row r="250" spans="1:24" s="186" customFormat="1" ht="15">
      <c r="A250" s="10">
        <f t="shared" si="53"/>
        <v>183</v>
      </c>
      <c r="B250" s="199" t="s">
        <v>238</v>
      </c>
      <c r="C250" s="92">
        <v>1968</v>
      </c>
      <c r="D250" s="95"/>
      <c r="E250" s="92" t="s">
        <v>94</v>
      </c>
      <c r="F250" s="95">
        <v>2</v>
      </c>
      <c r="G250" s="95">
        <v>2</v>
      </c>
      <c r="H250" s="97">
        <v>584.12</v>
      </c>
      <c r="I250" s="97">
        <v>531.12</v>
      </c>
      <c r="J250" s="97">
        <v>383.07</v>
      </c>
      <c r="K250" s="96">
        <v>19</v>
      </c>
      <c r="L250" s="97">
        <f>'виды работ  (2)'!C249</f>
        <v>85211</v>
      </c>
      <c r="M250" s="97">
        <v>0</v>
      </c>
      <c r="N250" s="97">
        <v>0</v>
      </c>
      <c r="O250" s="97">
        <v>0</v>
      </c>
      <c r="P250" s="97">
        <f t="shared" si="51"/>
        <v>85211</v>
      </c>
      <c r="Q250" s="97">
        <f t="shared" si="52"/>
        <v>145.8792713825926</v>
      </c>
      <c r="R250" s="97">
        <v>42000</v>
      </c>
      <c r="S250" s="55" t="s">
        <v>843</v>
      </c>
      <c r="T250" s="92" t="s">
        <v>773</v>
      </c>
      <c r="X250" s="190"/>
    </row>
    <row r="251" spans="1:24" s="186" customFormat="1" ht="15">
      <c r="A251" s="10">
        <f t="shared" si="53"/>
        <v>184</v>
      </c>
      <c r="B251" s="199" t="s">
        <v>239</v>
      </c>
      <c r="C251" s="92">
        <v>1969</v>
      </c>
      <c r="D251" s="95"/>
      <c r="E251" s="92" t="s">
        <v>94</v>
      </c>
      <c r="F251" s="95">
        <v>2</v>
      </c>
      <c r="G251" s="95">
        <v>2</v>
      </c>
      <c r="H251" s="97">
        <v>574.25</v>
      </c>
      <c r="I251" s="97">
        <v>521.25</v>
      </c>
      <c r="J251" s="97">
        <v>282.45</v>
      </c>
      <c r="K251" s="96">
        <v>37</v>
      </c>
      <c r="L251" s="97">
        <f>'виды работ  (2)'!C250</f>
        <v>85272</v>
      </c>
      <c r="M251" s="97">
        <v>0</v>
      </c>
      <c r="N251" s="97">
        <v>0</v>
      </c>
      <c r="O251" s="97">
        <v>0</v>
      </c>
      <c r="P251" s="97">
        <f t="shared" si="51"/>
        <v>85272</v>
      </c>
      <c r="Q251" s="97">
        <f t="shared" si="52"/>
        <v>148.49281671745754</v>
      </c>
      <c r="R251" s="97">
        <v>42000</v>
      </c>
      <c r="S251" s="55" t="s">
        <v>843</v>
      </c>
      <c r="T251" s="92" t="s">
        <v>773</v>
      </c>
      <c r="X251" s="190"/>
    </row>
    <row r="252" spans="1:24" s="186" customFormat="1" ht="15">
      <c r="A252" s="10">
        <f t="shared" si="53"/>
        <v>185</v>
      </c>
      <c r="B252" s="199" t="s">
        <v>240</v>
      </c>
      <c r="C252" s="92">
        <v>1970</v>
      </c>
      <c r="D252" s="95"/>
      <c r="E252" s="92" t="s">
        <v>94</v>
      </c>
      <c r="F252" s="95">
        <v>2</v>
      </c>
      <c r="G252" s="95">
        <v>2</v>
      </c>
      <c r="H252" s="97">
        <v>573.22</v>
      </c>
      <c r="I252" s="97">
        <v>520.31</v>
      </c>
      <c r="J252" s="97">
        <v>368.52</v>
      </c>
      <c r="K252" s="96">
        <v>40</v>
      </c>
      <c r="L252" s="97">
        <f>'виды работ  (2)'!C251</f>
        <v>84604</v>
      </c>
      <c r="M252" s="97">
        <v>0</v>
      </c>
      <c r="N252" s="97">
        <v>0</v>
      </c>
      <c r="O252" s="97">
        <v>0</v>
      </c>
      <c r="P252" s="97">
        <f t="shared" si="51"/>
        <v>84604</v>
      </c>
      <c r="Q252" s="97">
        <f t="shared" si="52"/>
        <v>147.59429189490945</v>
      </c>
      <c r="R252" s="97">
        <v>42000</v>
      </c>
      <c r="S252" s="55" t="s">
        <v>843</v>
      </c>
      <c r="T252" s="92" t="s">
        <v>773</v>
      </c>
      <c r="X252" s="190"/>
    </row>
    <row r="253" spans="1:24" s="186" customFormat="1" ht="15">
      <c r="A253" s="10">
        <f t="shared" si="53"/>
        <v>186</v>
      </c>
      <c r="B253" s="199" t="s">
        <v>241</v>
      </c>
      <c r="C253" s="92">
        <v>1972</v>
      </c>
      <c r="D253" s="95"/>
      <c r="E253" s="92" t="s">
        <v>94</v>
      </c>
      <c r="F253" s="95">
        <v>2</v>
      </c>
      <c r="G253" s="95">
        <v>2</v>
      </c>
      <c r="H253" s="97">
        <v>857.88</v>
      </c>
      <c r="I253" s="97">
        <v>776.05</v>
      </c>
      <c r="J253" s="97">
        <v>545.82</v>
      </c>
      <c r="K253" s="96">
        <v>54</v>
      </c>
      <c r="L253" s="97">
        <f>'виды работ  (2)'!C252</f>
        <v>2824598</v>
      </c>
      <c r="M253" s="97">
        <v>0</v>
      </c>
      <c r="N253" s="97">
        <v>0</v>
      </c>
      <c r="O253" s="97">
        <v>0</v>
      </c>
      <c r="P253" s="97">
        <f t="shared" si="51"/>
        <v>2824598</v>
      </c>
      <c r="Q253" s="97">
        <f t="shared" si="52"/>
        <v>3292.5327551638925</v>
      </c>
      <c r="R253" s="97">
        <v>42000</v>
      </c>
      <c r="S253" s="55" t="s">
        <v>843</v>
      </c>
      <c r="T253" s="92" t="s">
        <v>773</v>
      </c>
      <c r="X253" s="190"/>
    </row>
    <row r="254" spans="1:24" s="186" customFormat="1" ht="15">
      <c r="A254" s="10">
        <f t="shared" si="53"/>
        <v>187</v>
      </c>
      <c r="B254" s="199" t="s">
        <v>235</v>
      </c>
      <c r="C254" s="92">
        <v>1966</v>
      </c>
      <c r="D254" s="95"/>
      <c r="E254" s="92" t="s">
        <v>94</v>
      </c>
      <c r="F254" s="95">
        <v>2</v>
      </c>
      <c r="G254" s="95">
        <v>2</v>
      </c>
      <c r="H254" s="97">
        <v>620.24</v>
      </c>
      <c r="I254" s="97">
        <v>615.56</v>
      </c>
      <c r="J254" s="97">
        <v>449.99</v>
      </c>
      <c r="K254" s="96">
        <v>38</v>
      </c>
      <c r="L254" s="97">
        <f>'виды работ  (2)'!C253</f>
        <v>99847</v>
      </c>
      <c r="M254" s="97">
        <v>0</v>
      </c>
      <c r="N254" s="97">
        <v>0</v>
      </c>
      <c r="O254" s="97">
        <v>0</v>
      </c>
      <c r="P254" s="97">
        <f t="shared" si="51"/>
        <v>99847</v>
      </c>
      <c r="Q254" s="97">
        <f t="shared" si="52"/>
        <v>160.98123307106925</v>
      </c>
      <c r="R254" s="97">
        <v>42000</v>
      </c>
      <c r="S254" s="55" t="s">
        <v>843</v>
      </c>
      <c r="T254" s="92" t="s">
        <v>773</v>
      </c>
      <c r="X254" s="190"/>
    </row>
    <row r="255" spans="1:24" s="186" customFormat="1" ht="15">
      <c r="A255" s="10">
        <f t="shared" si="53"/>
        <v>188</v>
      </c>
      <c r="B255" s="199" t="s">
        <v>232</v>
      </c>
      <c r="C255" s="92">
        <v>1968</v>
      </c>
      <c r="D255" s="95"/>
      <c r="E255" s="92" t="s">
        <v>94</v>
      </c>
      <c r="F255" s="95">
        <v>2</v>
      </c>
      <c r="G255" s="95">
        <v>3</v>
      </c>
      <c r="H255" s="97">
        <v>1045.49</v>
      </c>
      <c r="I255" s="97">
        <v>1006.38</v>
      </c>
      <c r="J255" s="97">
        <v>714.97</v>
      </c>
      <c r="K255" s="96">
        <v>44</v>
      </c>
      <c r="L255" s="97">
        <f>'виды работ  (2)'!C254</f>
        <v>4963172</v>
      </c>
      <c r="M255" s="97">
        <v>0</v>
      </c>
      <c r="N255" s="97">
        <v>0</v>
      </c>
      <c r="O255" s="97">
        <v>0</v>
      </c>
      <c r="P255" s="97">
        <f t="shared" si="51"/>
        <v>4963172</v>
      </c>
      <c r="Q255" s="97">
        <f t="shared" si="52"/>
        <v>4747.220920334006</v>
      </c>
      <c r="R255" s="97">
        <v>42000</v>
      </c>
      <c r="S255" s="55" t="s">
        <v>843</v>
      </c>
      <c r="T255" s="92" t="s">
        <v>773</v>
      </c>
      <c r="X255" s="190"/>
    </row>
    <row r="256" spans="1:24" s="186" customFormat="1" ht="15">
      <c r="A256" s="10">
        <f t="shared" si="53"/>
        <v>189</v>
      </c>
      <c r="B256" s="199" t="s">
        <v>233</v>
      </c>
      <c r="C256" s="92">
        <v>1969</v>
      </c>
      <c r="D256" s="95"/>
      <c r="E256" s="92" t="s">
        <v>94</v>
      </c>
      <c r="F256" s="95">
        <v>2</v>
      </c>
      <c r="G256" s="95">
        <v>3</v>
      </c>
      <c r="H256" s="97">
        <v>1041.08</v>
      </c>
      <c r="I256" s="97">
        <v>1005</v>
      </c>
      <c r="J256" s="97">
        <v>950.22</v>
      </c>
      <c r="K256" s="96">
        <v>39</v>
      </c>
      <c r="L256" s="97">
        <f>'виды работ  (2)'!C255</f>
        <v>4945706</v>
      </c>
      <c r="M256" s="97">
        <v>0</v>
      </c>
      <c r="N256" s="97">
        <v>0</v>
      </c>
      <c r="O256" s="97">
        <v>0</v>
      </c>
      <c r="P256" s="97">
        <f t="shared" si="51"/>
        <v>4945706</v>
      </c>
      <c r="Q256" s="97">
        <f t="shared" si="52"/>
        <v>4750.553271602567</v>
      </c>
      <c r="R256" s="97">
        <v>42000</v>
      </c>
      <c r="S256" s="55" t="s">
        <v>843</v>
      </c>
      <c r="T256" s="92" t="s">
        <v>773</v>
      </c>
      <c r="X256" s="190"/>
    </row>
    <row r="257" spans="1:24" s="186" customFormat="1" ht="15">
      <c r="A257" s="10">
        <f t="shared" si="53"/>
        <v>190</v>
      </c>
      <c r="B257" s="13" t="s">
        <v>234</v>
      </c>
      <c r="C257" s="92">
        <v>1971</v>
      </c>
      <c r="D257" s="95"/>
      <c r="E257" s="92" t="s">
        <v>94</v>
      </c>
      <c r="F257" s="95">
        <v>2</v>
      </c>
      <c r="G257" s="95">
        <v>3</v>
      </c>
      <c r="H257" s="97">
        <v>1056.25</v>
      </c>
      <c r="I257" s="97">
        <v>1022.23</v>
      </c>
      <c r="J257" s="97">
        <v>697.17</v>
      </c>
      <c r="K257" s="96">
        <v>56</v>
      </c>
      <c r="L257" s="97">
        <f>'виды работ  (2)'!C256</f>
        <v>4852457</v>
      </c>
      <c r="M257" s="97">
        <v>0</v>
      </c>
      <c r="N257" s="97">
        <v>0</v>
      </c>
      <c r="O257" s="97">
        <v>0</v>
      </c>
      <c r="P257" s="97">
        <f t="shared" si="51"/>
        <v>4852457</v>
      </c>
      <c r="Q257" s="97">
        <f t="shared" si="52"/>
        <v>4594.042130177515</v>
      </c>
      <c r="R257" s="97">
        <v>42000</v>
      </c>
      <c r="S257" s="55" t="s">
        <v>843</v>
      </c>
      <c r="T257" s="92" t="s">
        <v>773</v>
      </c>
      <c r="X257" s="190"/>
    </row>
    <row r="258" spans="1:24" s="186" customFormat="1" ht="15">
      <c r="A258" s="10">
        <f t="shared" si="53"/>
        <v>191</v>
      </c>
      <c r="B258" s="199" t="s">
        <v>231</v>
      </c>
      <c r="C258" s="92">
        <v>1973</v>
      </c>
      <c r="D258" s="95"/>
      <c r="E258" s="92" t="s">
        <v>94</v>
      </c>
      <c r="F258" s="95">
        <v>3</v>
      </c>
      <c r="G258" s="95">
        <v>4</v>
      </c>
      <c r="H258" s="97">
        <v>1834</v>
      </c>
      <c r="I258" s="97">
        <v>1668.5</v>
      </c>
      <c r="J258" s="97">
        <v>676.5</v>
      </c>
      <c r="K258" s="96">
        <v>90</v>
      </c>
      <c r="L258" s="97">
        <f>'виды работ  (2)'!C257</f>
        <v>8281802</v>
      </c>
      <c r="M258" s="97">
        <v>0</v>
      </c>
      <c r="N258" s="97">
        <v>0</v>
      </c>
      <c r="O258" s="97">
        <v>0</v>
      </c>
      <c r="P258" s="97">
        <f t="shared" si="51"/>
        <v>8281802</v>
      </c>
      <c r="Q258" s="97">
        <f t="shared" si="52"/>
        <v>4515.704471101418</v>
      </c>
      <c r="R258" s="97">
        <v>42000</v>
      </c>
      <c r="S258" s="55" t="s">
        <v>843</v>
      </c>
      <c r="T258" s="92" t="s">
        <v>773</v>
      </c>
      <c r="X258" s="190"/>
    </row>
    <row r="259" spans="1:24" s="186" customFormat="1" ht="15">
      <c r="A259" s="117" t="s">
        <v>597</v>
      </c>
      <c r="B259" s="117"/>
      <c r="C259" s="86" t="s">
        <v>430</v>
      </c>
      <c r="D259" s="86" t="s">
        <v>430</v>
      </c>
      <c r="E259" s="86" t="s">
        <v>430</v>
      </c>
      <c r="F259" s="86" t="s">
        <v>430</v>
      </c>
      <c r="G259" s="86" t="s">
        <v>430</v>
      </c>
      <c r="H259" s="97">
        <f aca="true" t="shared" si="54" ref="H259:P259">SUM(H243:H258)</f>
        <v>12596.64</v>
      </c>
      <c r="I259" s="97">
        <f t="shared" si="54"/>
        <v>11354.91</v>
      </c>
      <c r="J259" s="97">
        <f t="shared" si="54"/>
        <v>7732.99</v>
      </c>
      <c r="K259" s="96">
        <f t="shared" si="54"/>
        <v>570</v>
      </c>
      <c r="L259" s="97">
        <f t="shared" si="54"/>
        <v>33582859</v>
      </c>
      <c r="M259" s="97">
        <f t="shared" si="54"/>
        <v>0</v>
      </c>
      <c r="N259" s="97">
        <f t="shared" si="54"/>
        <v>0</v>
      </c>
      <c r="O259" s="97">
        <f t="shared" si="54"/>
        <v>0</v>
      </c>
      <c r="P259" s="97">
        <f t="shared" si="54"/>
        <v>33582859</v>
      </c>
      <c r="Q259" s="97">
        <f t="shared" si="52"/>
        <v>2666.01720776334</v>
      </c>
      <c r="R259" s="56" t="s">
        <v>430</v>
      </c>
      <c r="S259" s="56" t="s">
        <v>430</v>
      </c>
      <c r="T259" s="56" t="s">
        <v>430</v>
      </c>
      <c r="U259" s="190"/>
      <c r="X259" s="190"/>
    </row>
    <row r="260" spans="1:24" s="186" customFormat="1" ht="15" customHeight="1">
      <c r="A260" s="105" t="s">
        <v>681</v>
      </c>
      <c r="B260" s="110"/>
      <c r="C260" s="110"/>
      <c r="D260" s="110"/>
      <c r="E260" s="106"/>
      <c r="F260" s="178"/>
      <c r="G260" s="178"/>
      <c r="H260" s="178"/>
      <c r="I260" s="178"/>
      <c r="J260" s="178"/>
      <c r="K260" s="178"/>
      <c r="L260" s="178"/>
      <c r="M260" s="178"/>
      <c r="N260" s="178"/>
      <c r="O260" s="178"/>
      <c r="P260" s="178"/>
      <c r="Q260" s="178"/>
      <c r="R260" s="178"/>
      <c r="S260" s="178"/>
      <c r="T260" s="178"/>
      <c r="X260" s="190"/>
    </row>
    <row r="261" spans="1:24" s="186" customFormat="1" ht="15">
      <c r="A261" s="10">
        <f>A258+1</f>
        <v>192</v>
      </c>
      <c r="B261" s="59" t="s">
        <v>217</v>
      </c>
      <c r="C261" s="92">
        <v>1959</v>
      </c>
      <c r="D261" s="95"/>
      <c r="E261" s="92" t="s">
        <v>94</v>
      </c>
      <c r="F261" s="95">
        <v>2</v>
      </c>
      <c r="G261" s="95">
        <v>1</v>
      </c>
      <c r="H261" s="97">
        <v>664</v>
      </c>
      <c r="I261" s="97">
        <v>600</v>
      </c>
      <c r="J261" s="97">
        <v>510</v>
      </c>
      <c r="K261" s="96">
        <v>40</v>
      </c>
      <c r="L261" s="97">
        <f>'виды работ  (2)'!C260</f>
        <v>816642</v>
      </c>
      <c r="M261" s="97">
        <v>0</v>
      </c>
      <c r="N261" s="97">
        <v>0</v>
      </c>
      <c r="O261" s="97">
        <v>0</v>
      </c>
      <c r="P261" s="97">
        <f aca="true" t="shared" si="55" ref="P261:P266">L261</f>
        <v>816642</v>
      </c>
      <c r="Q261" s="97">
        <f aca="true" t="shared" si="56" ref="Q261:Q266">L261/H261</f>
        <v>1229.882530120482</v>
      </c>
      <c r="R261" s="97">
        <v>42000</v>
      </c>
      <c r="S261" s="55" t="s">
        <v>843</v>
      </c>
      <c r="T261" s="92" t="s">
        <v>773</v>
      </c>
      <c r="X261" s="190"/>
    </row>
    <row r="262" spans="1:24" s="186" customFormat="1" ht="15">
      <c r="A262" s="10">
        <f>A261+1</f>
        <v>193</v>
      </c>
      <c r="B262" s="59" t="s">
        <v>221</v>
      </c>
      <c r="C262" s="92">
        <v>1976</v>
      </c>
      <c r="D262" s="95"/>
      <c r="E262" s="92" t="s">
        <v>94</v>
      </c>
      <c r="F262" s="95">
        <v>2</v>
      </c>
      <c r="G262" s="95">
        <v>3</v>
      </c>
      <c r="H262" s="97">
        <v>866.8</v>
      </c>
      <c r="I262" s="97">
        <v>789</v>
      </c>
      <c r="J262" s="97">
        <v>650</v>
      </c>
      <c r="K262" s="96">
        <v>41</v>
      </c>
      <c r="L262" s="97">
        <f>'виды работ  (2)'!C261</f>
        <v>1173025</v>
      </c>
      <c r="M262" s="97">
        <v>0</v>
      </c>
      <c r="N262" s="97">
        <v>0</v>
      </c>
      <c r="O262" s="97">
        <v>0</v>
      </c>
      <c r="P262" s="97">
        <f t="shared" si="55"/>
        <v>1173025</v>
      </c>
      <c r="Q262" s="97">
        <f t="shared" si="56"/>
        <v>1353.2821873557914</v>
      </c>
      <c r="R262" s="97">
        <v>42000</v>
      </c>
      <c r="S262" s="55" t="s">
        <v>843</v>
      </c>
      <c r="T262" s="92" t="s">
        <v>773</v>
      </c>
      <c r="X262" s="190"/>
    </row>
    <row r="263" spans="1:24" s="186" customFormat="1" ht="15">
      <c r="A263" s="10">
        <f>A262+1</f>
        <v>194</v>
      </c>
      <c r="B263" s="59" t="s">
        <v>222</v>
      </c>
      <c r="C263" s="92">
        <v>1975</v>
      </c>
      <c r="D263" s="95"/>
      <c r="E263" s="92" t="s">
        <v>94</v>
      </c>
      <c r="F263" s="95">
        <v>2</v>
      </c>
      <c r="G263" s="95">
        <v>3</v>
      </c>
      <c r="H263" s="97">
        <v>866.4</v>
      </c>
      <c r="I263" s="97">
        <v>789</v>
      </c>
      <c r="J263" s="97">
        <v>650</v>
      </c>
      <c r="K263" s="96">
        <v>39</v>
      </c>
      <c r="L263" s="97">
        <f>'виды работ  (2)'!C262</f>
        <v>1173025</v>
      </c>
      <c r="M263" s="97">
        <v>0</v>
      </c>
      <c r="N263" s="97">
        <v>0</v>
      </c>
      <c r="O263" s="97">
        <v>0</v>
      </c>
      <c r="P263" s="97">
        <f t="shared" si="55"/>
        <v>1173025</v>
      </c>
      <c r="Q263" s="97">
        <f t="shared" si="56"/>
        <v>1353.9069713758079</v>
      </c>
      <c r="R263" s="97">
        <v>42000</v>
      </c>
      <c r="S263" s="55" t="s">
        <v>843</v>
      </c>
      <c r="T263" s="92" t="s">
        <v>773</v>
      </c>
      <c r="X263" s="190"/>
    </row>
    <row r="264" spans="1:24" s="186" customFormat="1" ht="15">
      <c r="A264" s="10">
        <f>A263+1</f>
        <v>195</v>
      </c>
      <c r="B264" s="59" t="s">
        <v>218</v>
      </c>
      <c r="C264" s="92">
        <v>1966</v>
      </c>
      <c r="D264" s="95"/>
      <c r="E264" s="92" t="s">
        <v>700</v>
      </c>
      <c r="F264" s="95">
        <v>2</v>
      </c>
      <c r="G264" s="95">
        <v>2</v>
      </c>
      <c r="H264" s="97">
        <v>656</v>
      </c>
      <c r="I264" s="97">
        <v>605</v>
      </c>
      <c r="J264" s="97">
        <v>541</v>
      </c>
      <c r="K264" s="96">
        <v>29</v>
      </c>
      <c r="L264" s="97">
        <f>'виды работ  (2)'!C263</f>
        <v>1277746</v>
      </c>
      <c r="M264" s="97">
        <v>0</v>
      </c>
      <c r="N264" s="97">
        <v>0</v>
      </c>
      <c r="O264" s="97">
        <v>0</v>
      </c>
      <c r="P264" s="97">
        <f t="shared" si="55"/>
        <v>1277746</v>
      </c>
      <c r="Q264" s="97">
        <f t="shared" si="56"/>
        <v>1947.783536585366</v>
      </c>
      <c r="R264" s="97">
        <v>42000</v>
      </c>
      <c r="S264" s="55" t="s">
        <v>843</v>
      </c>
      <c r="T264" s="92" t="s">
        <v>773</v>
      </c>
      <c r="X264" s="190"/>
    </row>
    <row r="265" spans="1:24" s="186" customFormat="1" ht="15">
      <c r="A265" s="10">
        <f>A264+1</f>
        <v>196</v>
      </c>
      <c r="B265" s="59" t="s">
        <v>219</v>
      </c>
      <c r="C265" s="92">
        <v>1956</v>
      </c>
      <c r="D265" s="95"/>
      <c r="E265" s="92" t="s">
        <v>700</v>
      </c>
      <c r="F265" s="95">
        <v>2</v>
      </c>
      <c r="G265" s="95">
        <v>2</v>
      </c>
      <c r="H265" s="97">
        <v>706.4</v>
      </c>
      <c r="I265" s="97">
        <v>647</v>
      </c>
      <c r="J265" s="97">
        <v>591</v>
      </c>
      <c r="K265" s="96">
        <v>43</v>
      </c>
      <c r="L265" s="97">
        <f>'виды работ  (2)'!C264</f>
        <v>1277746</v>
      </c>
      <c r="M265" s="97">
        <v>0</v>
      </c>
      <c r="N265" s="97">
        <v>0</v>
      </c>
      <c r="O265" s="97">
        <v>0</v>
      </c>
      <c r="P265" s="97">
        <f t="shared" si="55"/>
        <v>1277746</v>
      </c>
      <c r="Q265" s="97">
        <f t="shared" si="56"/>
        <v>1808.8137032842583</v>
      </c>
      <c r="R265" s="97">
        <v>42000</v>
      </c>
      <c r="S265" s="55" t="s">
        <v>843</v>
      </c>
      <c r="T265" s="92" t="s">
        <v>773</v>
      </c>
      <c r="X265" s="190"/>
    </row>
    <row r="266" spans="1:24" s="186" customFormat="1" ht="15">
      <c r="A266" s="10">
        <f>A265+1</f>
        <v>197</v>
      </c>
      <c r="B266" s="59" t="s">
        <v>220</v>
      </c>
      <c r="C266" s="92">
        <v>1956</v>
      </c>
      <c r="D266" s="95"/>
      <c r="E266" s="92" t="s">
        <v>700</v>
      </c>
      <c r="F266" s="95">
        <v>2</v>
      </c>
      <c r="G266" s="95">
        <v>2</v>
      </c>
      <c r="H266" s="97">
        <v>709.4</v>
      </c>
      <c r="I266" s="97">
        <v>651</v>
      </c>
      <c r="J266" s="97">
        <v>587</v>
      </c>
      <c r="K266" s="96">
        <v>42</v>
      </c>
      <c r="L266" s="97">
        <f>'виды работ  (2)'!C265</f>
        <v>1277746</v>
      </c>
      <c r="M266" s="97">
        <v>0</v>
      </c>
      <c r="N266" s="97">
        <v>0</v>
      </c>
      <c r="O266" s="97">
        <v>0</v>
      </c>
      <c r="P266" s="97">
        <f t="shared" si="55"/>
        <v>1277746</v>
      </c>
      <c r="Q266" s="97">
        <f t="shared" si="56"/>
        <v>1801.1643642514803</v>
      </c>
      <c r="R266" s="97">
        <v>42000</v>
      </c>
      <c r="S266" s="55" t="s">
        <v>843</v>
      </c>
      <c r="T266" s="92" t="s">
        <v>773</v>
      </c>
      <c r="X266" s="190"/>
    </row>
    <row r="267" spans="1:24" s="186" customFormat="1" ht="15">
      <c r="A267" s="117" t="s">
        <v>597</v>
      </c>
      <c r="B267" s="117"/>
      <c r="C267" s="86" t="s">
        <v>430</v>
      </c>
      <c r="D267" s="86" t="s">
        <v>430</v>
      </c>
      <c r="E267" s="86" t="s">
        <v>430</v>
      </c>
      <c r="F267" s="86" t="s">
        <v>430</v>
      </c>
      <c r="G267" s="86" t="s">
        <v>430</v>
      </c>
      <c r="H267" s="97">
        <f aca="true" t="shared" si="57" ref="H267:P267">SUM(H261:H266)</f>
        <v>4469</v>
      </c>
      <c r="I267" s="97">
        <f t="shared" si="57"/>
        <v>4081</v>
      </c>
      <c r="J267" s="97">
        <f t="shared" si="57"/>
        <v>3529</v>
      </c>
      <c r="K267" s="96">
        <f t="shared" si="57"/>
        <v>234</v>
      </c>
      <c r="L267" s="97">
        <f t="shared" si="57"/>
        <v>6995930</v>
      </c>
      <c r="M267" s="97">
        <f t="shared" si="57"/>
        <v>0</v>
      </c>
      <c r="N267" s="97">
        <f t="shared" si="57"/>
        <v>0</v>
      </c>
      <c r="O267" s="97">
        <f t="shared" si="57"/>
        <v>0</v>
      </c>
      <c r="P267" s="97">
        <f t="shared" si="57"/>
        <v>6995930</v>
      </c>
      <c r="Q267" s="97">
        <f>L267/H267</f>
        <v>1565.43522040725</v>
      </c>
      <c r="R267" s="56" t="s">
        <v>430</v>
      </c>
      <c r="S267" s="56" t="s">
        <v>430</v>
      </c>
      <c r="T267" s="56" t="s">
        <v>430</v>
      </c>
      <c r="U267" s="190"/>
      <c r="X267" s="190"/>
    </row>
    <row r="268" spans="1:24" s="186" customFormat="1" ht="15" customHeight="1">
      <c r="A268" s="120" t="s">
        <v>620</v>
      </c>
      <c r="B268" s="121"/>
      <c r="C268" s="121"/>
      <c r="D268" s="121"/>
      <c r="E268" s="122"/>
      <c r="F268" s="178"/>
      <c r="G268" s="178"/>
      <c r="H268" s="178"/>
      <c r="I268" s="178"/>
      <c r="J268" s="178"/>
      <c r="K268" s="178"/>
      <c r="L268" s="178"/>
      <c r="M268" s="178"/>
      <c r="N268" s="178"/>
      <c r="O268" s="178"/>
      <c r="P268" s="178"/>
      <c r="Q268" s="178"/>
      <c r="R268" s="178"/>
      <c r="S268" s="178"/>
      <c r="T268" s="178"/>
      <c r="X268" s="190"/>
    </row>
    <row r="269" spans="1:24" s="186" customFormat="1" ht="15">
      <c r="A269" s="10">
        <f>A266+1</f>
        <v>198</v>
      </c>
      <c r="B269" s="59" t="s">
        <v>250</v>
      </c>
      <c r="C269" s="92">
        <v>1968</v>
      </c>
      <c r="D269" s="95"/>
      <c r="E269" s="92" t="s">
        <v>94</v>
      </c>
      <c r="F269" s="95">
        <v>2</v>
      </c>
      <c r="G269" s="95">
        <v>2</v>
      </c>
      <c r="H269" s="97">
        <v>515.58</v>
      </c>
      <c r="I269" s="97">
        <v>515.58</v>
      </c>
      <c r="J269" s="97">
        <v>283.03</v>
      </c>
      <c r="K269" s="96">
        <v>26</v>
      </c>
      <c r="L269" s="97">
        <f>'виды работ  (2)'!C268</f>
        <v>82145</v>
      </c>
      <c r="M269" s="97">
        <v>0</v>
      </c>
      <c r="N269" s="97">
        <v>0</v>
      </c>
      <c r="O269" s="97">
        <v>0</v>
      </c>
      <c r="P269" s="97">
        <f aca="true" t="shared" si="58" ref="P269:P274">L269</f>
        <v>82145</v>
      </c>
      <c r="Q269" s="97">
        <f aca="true" t="shared" si="59" ref="Q269:Q275">L269/H269</f>
        <v>159.32541991543502</v>
      </c>
      <c r="R269" s="97">
        <v>42000</v>
      </c>
      <c r="S269" s="55" t="s">
        <v>843</v>
      </c>
      <c r="T269" s="92" t="s">
        <v>773</v>
      </c>
      <c r="X269" s="190"/>
    </row>
    <row r="270" spans="1:24" s="186" customFormat="1" ht="15">
      <c r="A270" s="197">
        <f>A269+1</f>
        <v>199</v>
      </c>
      <c r="B270" s="59" t="s">
        <v>251</v>
      </c>
      <c r="C270" s="77">
        <v>1953</v>
      </c>
      <c r="D270" s="77"/>
      <c r="E270" s="92" t="s">
        <v>94</v>
      </c>
      <c r="F270" s="77">
        <v>2</v>
      </c>
      <c r="G270" s="77">
        <v>2</v>
      </c>
      <c r="H270" s="71">
        <v>373.4</v>
      </c>
      <c r="I270" s="71">
        <v>373.4</v>
      </c>
      <c r="J270" s="71">
        <v>54.11</v>
      </c>
      <c r="K270" s="197">
        <v>33</v>
      </c>
      <c r="L270" s="97">
        <f>'виды работ  (2)'!C269</f>
        <v>99663</v>
      </c>
      <c r="M270" s="97">
        <v>0</v>
      </c>
      <c r="N270" s="97">
        <v>0</v>
      </c>
      <c r="O270" s="97">
        <v>0</v>
      </c>
      <c r="P270" s="97">
        <f t="shared" si="58"/>
        <v>99663</v>
      </c>
      <c r="Q270" s="97">
        <f t="shared" si="59"/>
        <v>266.90680235672204</v>
      </c>
      <c r="R270" s="97">
        <v>42000</v>
      </c>
      <c r="S270" s="55" t="s">
        <v>843</v>
      </c>
      <c r="T270" s="92" t="s">
        <v>773</v>
      </c>
      <c r="X270" s="190"/>
    </row>
    <row r="271" spans="1:24" s="186" customFormat="1" ht="15">
      <c r="A271" s="197">
        <f>A270+1</f>
        <v>200</v>
      </c>
      <c r="B271" s="59" t="s">
        <v>246</v>
      </c>
      <c r="C271" s="92">
        <v>1964</v>
      </c>
      <c r="D271" s="95"/>
      <c r="E271" s="92" t="s">
        <v>700</v>
      </c>
      <c r="F271" s="95">
        <v>2</v>
      </c>
      <c r="G271" s="95">
        <v>2</v>
      </c>
      <c r="H271" s="97">
        <v>620.5</v>
      </c>
      <c r="I271" s="97">
        <v>620.5</v>
      </c>
      <c r="J271" s="97">
        <v>455.2</v>
      </c>
      <c r="K271" s="96">
        <v>26</v>
      </c>
      <c r="L271" s="97">
        <f>'виды работ  (2)'!C270</f>
        <v>95563</v>
      </c>
      <c r="M271" s="97">
        <v>0</v>
      </c>
      <c r="N271" s="97">
        <v>0</v>
      </c>
      <c r="O271" s="97">
        <v>0</v>
      </c>
      <c r="P271" s="97">
        <f t="shared" si="58"/>
        <v>95563</v>
      </c>
      <c r="Q271" s="97">
        <f t="shared" si="59"/>
        <v>154.00966962127316</v>
      </c>
      <c r="R271" s="97">
        <v>42000</v>
      </c>
      <c r="S271" s="55" t="s">
        <v>843</v>
      </c>
      <c r="T271" s="92" t="s">
        <v>773</v>
      </c>
      <c r="X271" s="190"/>
    </row>
    <row r="272" spans="1:24" s="186" customFormat="1" ht="15">
      <c r="A272" s="197">
        <f>A271+1</f>
        <v>201</v>
      </c>
      <c r="B272" s="59" t="s">
        <v>247</v>
      </c>
      <c r="C272" s="92">
        <v>1961</v>
      </c>
      <c r="D272" s="95"/>
      <c r="E272" s="92" t="s">
        <v>94</v>
      </c>
      <c r="F272" s="95">
        <v>2</v>
      </c>
      <c r="G272" s="95">
        <v>2</v>
      </c>
      <c r="H272" s="97">
        <v>461</v>
      </c>
      <c r="I272" s="97">
        <v>461</v>
      </c>
      <c r="J272" s="97">
        <v>217.5</v>
      </c>
      <c r="K272" s="96">
        <v>22</v>
      </c>
      <c r="L272" s="97">
        <f>'виды работ  (2)'!C271</f>
        <v>111088</v>
      </c>
      <c r="M272" s="97">
        <v>0</v>
      </c>
      <c r="N272" s="97">
        <v>0</v>
      </c>
      <c r="O272" s="97">
        <v>0</v>
      </c>
      <c r="P272" s="97">
        <f t="shared" si="58"/>
        <v>111088</v>
      </c>
      <c r="Q272" s="97">
        <f t="shared" si="59"/>
        <v>240.9718004338395</v>
      </c>
      <c r="R272" s="97">
        <v>42000</v>
      </c>
      <c r="S272" s="55" t="s">
        <v>843</v>
      </c>
      <c r="T272" s="92" t="s">
        <v>773</v>
      </c>
      <c r="X272" s="190"/>
    </row>
    <row r="273" spans="1:24" s="186" customFormat="1" ht="15">
      <c r="A273" s="197">
        <f>A272+1</f>
        <v>202</v>
      </c>
      <c r="B273" s="59" t="s">
        <v>248</v>
      </c>
      <c r="C273" s="92">
        <v>1967</v>
      </c>
      <c r="D273" s="95"/>
      <c r="E273" s="92" t="s">
        <v>94</v>
      </c>
      <c r="F273" s="95">
        <v>5</v>
      </c>
      <c r="G273" s="95">
        <v>4</v>
      </c>
      <c r="H273" s="97">
        <v>3411.08</v>
      </c>
      <c r="I273" s="97">
        <v>3411.08</v>
      </c>
      <c r="J273" s="97">
        <v>2926.02</v>
      </c>
      <c r="K273" s="96">
        <v>161</v>
      </c>
      <c r="L273" s="97">
        <f>'виды работ  (2)'!C272</f>
        <v>692305</v>
      </c>
      <c r="M273" s="97">
        <v>0</v>
      </c>
      <c r="N273" s="97">
        <v>0</v>
      </c>
      <c r="O273" s="97">
        <v>0</v>
      </c>
      <c r="P273" s="97">
        <f t="shared" si="58"/>
        <v>692305</v>
      </c>
      <c r="Q273" s="97">
        <f t="shared" si="59"/>
        <v>202.9577142723126</v>
      </c>
      <c r="R273" s="97">
        <v>42000</v>
      </c>
      <c r="S273" s="55" t="s">
        <v>843</v>
      </c>
      <c r="T273" s="92" t="s">
        <v>773</v>
      </c>
      <c r="X273" s="190"/>
    </row>
    <row r="274" spans="1:24" s="200" customFormat="1" ht="15">
      <c r="A274" s="197">
        <f>A273+1</f>
        <v>203</v>
      </c>
      <c r="B274" s="59" t="s">
        <v>249</v>
      </c>
      <c r="C274" s="92">
        <v>1969</v>
      </c>
      <c r="D274" s="95"/>
      <c r="E274" s="92" t="s">
        <v>411</v>
      </c>
      <c r="F274" s="95">
        <v>5</v>
      </c>
      <c r="G274" s="95">
        <v>4</v>
      </c>
      <c r="H274" s="97">
        <v>2672.66</v>
      </c>
      <c r="I274" s="97">
        <v>2672.66</v>
      </c>
      <c r="J274" s="97">
        <v>1972.61</v>
      </c>
      <c r="K274" s="96">
        <v>162</v>
      </c>
      <c r="L274" s="97">
        <f>'виды работ  (2)'!C273</f>
        <v>256108</v>
      </c>
      <c r="M274" s="97">
        <v>0</v>
      </c>
      <c r="N274" s="97">
        <v>0</v>
      </c>
      <c r="O274" s="97">
        <v>0</v>
      </c>
      <c r="P274" s="97">
        <f t="shared" si="58"/>
        <v>256108</v>
      </c>
      <c r="Q274" s="97">
        <f t="shared" si="59"/>
        <v>95.82513301355205</v>
      </c>
      <c r="R274" s="97">
        <v>42000</v>
      </c>
      <c r="S274" s="55" t="s">
        <v>843</v>
      </c>
      <c r="T274" s="92" t="s">
        <v>773</v>
      </c>
      <c r="X274" s="190"/>
    </row>
    <row r="275" spans="1:24" s="200" customFormat="1" ht="15">
      <c r="A275" s="117" t="s">
        <v>597</v>
      </c>
      <c r="B275" s="117"/>
      <c r="C275" s="86" t="s">
        <v>430</v>
      </c>
      <c r="D275" s="86" t="s">
        <v>430</v>
      </c>
      <c r="E275" s="86" t="s">
        <v>430</v>
      </c>
      <c r="F275" s="86" t="s">
        <v>430</v>
      </c>
      <c r="G275" s="86" t="s">
        <v>430</v>
      </c>
      <c r="H275" s="97">
        <f>SUM(H269:H274)</f>
        <v>8054.219999999999</v>
      </c>
      <c r="I275" s="97">
        <f aca="true" t="shared" si="60" ref="I275:P275">SUM(I269:I274)</f>
        <v>8054.219999999999</v>
      </c>
      <c r="J275" s="97">
        <f t="shared" si="60"/>
        <v>5908.469999999999</v>
      </c>
      <c r="K275" s="96">
        <f t="shared" si="60"/>
        <v>430</v>
      </c>
      <c r="L275" s="97">
        <f t="shared" si="60"/>
        <v>1336872</v>
      </c>
      <c r="M275" s="97">
        <f t="shared" si="60"/>
        <v>0</v>
      </c>
      <c r="N275" s="97">
        <f t="shared" si="60"/>
        <v>0</v>
      </c>
      <c r="O275" s="97">
        <f t="shared" si="60"/>
        <v>0</v>
      </c>
      <c r="P275" s="97">
        <f t="shared" si="60"/>
        <v>1336872</v>
      </c>
      <c r="Q275" s="97">
        <f t="shared" si="59"/>
        <v>165.98404314756738</v>
      </c>
      <c r="R275" s="56" t="s">
        <v>430</v>
      </c>
      <c r="S275" s="56" t="s">
        <v>430</v>
      </c>
      <c r="T275" s="56" t="s">
        <v>430</v>
      </c>
      <c r="U275" s="190"/>
      <c r="X275" s="190"/>
    </row>
    <row r="276" spans="1:24" s="200" customFormat="1" ht="15" customHeight="1">
      <c r="A276" s="105" t="s">
        <v>619</v>
      </c>
      <c r="B276" s="110"/>
      <c r="C276" s="110"/>
      <c r="D276" s="110"/>
      <c r="E276" s="106"/>
      <c r="F276" s="178"/>
      <c r="G276" s="178"/>
      <c r="H276" s="178"/>
      <c r="I276" s="178"/>
      <c r="J276" s="178"/>
      <c r="K276" s="178"/>
      <c r="L276" s="178"/>
      <c r="M276" s="178"/>
      <c r="N276" s="178"/>
      <c r="O276" s="178"/>
      <c r="P276" s="178"/>
      <c r="Q276" s="178"/>
      <c r="R276" s="178"/>
      <c r="S276" s="178"/>
      <c r="T276" s="178"/>
      <c r="X276" s="190"/>
    </row>
    <row r="277" spans="1:24" s="200" customFormat="1" ht="15">
      <c r="A277" s="10">
        <f>A274+1</f>
        <v>204</v>
      </c>
      <c r="B277" s="59" t="s">
        <v>254</v>
      </c>
      <c r="C277" s="77">
        <v>1981</v>
      </c>
      <c r="D277" s="77"/>
      <c r="E277" s="92" t="s">
        <v>411</v>
      </c>
      <c r="F277" s="77">
        <v>5</v>
      </c>
      <c r="G277" s="77">
        <v>6</v>
      </c>
      <c r="H277" s="71">
        <v>4873.4</v>
      </c>
      <c r="I277" s="71">
        <v>4873.4</v>
      </c>
      <c r="J277" s="71">
        <v>4097.4</v>
      </c>
      <c r="K277" s="197">
        <v>178</v>
      </c>
      <c r="L277" s="71">
        <f>'виды работ  (2)'!C276</f>
        <v>671744</v>
      </c>
      <c r="M277" s="97">
        <v>0</v>
      </c>
      <c r="N277" s="97">
        <v>0</v>
      </c>
      <c r="O277" s="97">
        <v>0</v>
      </c>
      <c r="P277" s="97">
        <f>L277</f>
        <v>671744</v>
      </c>
      <c r="Q277" s="97">
        <f>L277/H277</f>
        <v>137.8388804530718</v>
      </c>
      <c r="R277" s="97">
        <v>42000</v>
      </c>
      <c r="S277" s="55" t="s">
        <v>843</v>
      </c>
      <c r="T277" s="92" t="s">
        <v>773</v>
      </c>
      <c r="X277" s="190"/>
    </row>
    <row r="278" spans="1:24" s="200" customFormat="1" ht="15">
      <c r="A278" s="10">
        <f>A277+1</f>
        <v>205</v>
      </c>
      <c r="B278" s="59" t="s">
        <v>252</v>
      </c>
      <c r="C278" s="77">
        <v>1982</v>
      </c>
      <c r="D278" s="77"/>
      <c r="E278" s="92" t="s">
        <v>411</v>
      </c>
      <c r="F278" s="77">
        <v>12</v>
      </c>
      <c r="G278" s="77">
        <v>1</v>
      </c>
      <c r="H278" s="71">
        <v>2448.6</v>
      </c>
      <c r="I278" s="71">
        <v>2448.6</v>
      </c>
      <c r="J278" s="71">
        <v>2004.6</v>
      </c>
      <c r="K278" s="197">
        <v>111</v>
      </c>
      <c r="L278" s="71">
        <f>'виды работ  (2)'!C277</f>
        <v>6277915</v>
      </c>
      <c r="M278" s="97">
        <v>0</v>
      </c>
      <c r="N278" s="97">
        <v>0</v>
      </c>
      <c r="O278" s="97">
        <v>0</v>
      </c>
      <c r="P278" s="97">
        <f>L278</f>
        <v>6277915</v>
      </c>
      <c r="Q278" s="97">
        <f>L278/H278</f>
        <v>2563.8793596340765</v>
      </c>
      <c r="R278" s="97">
        <v>42000</v>
      </c>
      <c r="S278" s="55" t="s">
        <v>843</v>
      </c>
      <c r="T278" s="92" t="s">
        <v>773</v>
      </c>
      <c r="X278" s="190"/>
    </row>
    <row r="279" spans="1:24" s="200" customFormat="1" ht="15">
      <c r="A279" s="10">
        <f>A278+1</f>
        <v>206</v>
      </c>
      <c r="B279" s="59" t="s">
        <v>253</v>
      </c>
      <c r="C279" s="77">
        <v>1980</v>
      </c>
      <c r="D279" s="77"/>
      <c r="E279" s="92" t="s">
        <v>411</v>
      </c>
      <c r="F279" s="77">
        <v>9</v>
      </c>
      <c r="G279" s="77">
        <v>4</v>
      </c>
      <c r="H279" s="71">
        <v>8293.8</v>
      </c>
      <c r="I279" s="71">
        <v>8293.8</v>
      </c>
      <c r="J279" s="71">
        <v>6283.95</v>
      </c>
      <c r="K279" s="197">
        <v>356</v>
      </c>
      <c r="L279" s="71">
        <f>'виды работ  (2)'!C278</f>
        <v>9567031</v>
      </c>
      <c r="M279" s="97">
        <v>0</v>
      </c>
      <c r="N279" s="97">
        <v>0</v>
      </c>
      <c r="O279" s="97">
        <v>0</v>
      </c>
      <c r="P279" s="97">
        <f>L279</f>
        <v>9567031</v>
      </c>
      <c r="Q279" s="97">
        <f>L279/H279</f>
        <v>1153.5159999035425</v>
      </c>
      <c r="R279" s="97">
        <v>42000</v>
      </c>
      <c r="S279" s="55" t="s">
        <v>843</v>
      </c>
      <c r="T279" s="92" t="s">
        <v>773</v>
      </c>
      <c r="X279" s="190"/>
    </row>
    <row r="280" spans="1:24" s="200" customFormat="1" ht="15">
      <c r="A280" s="117" t="s">
        <v>597</v>
      </c>
      <c r="B280" s="117"/>
      <c r="C280" s="86" t="s">
        <v>430</v>
      </c>
      <c r="D280" s="86" t="s">
        <v>430</v>
      </c>
      <c r="E280" s="86" t="s">
        <v>430</v>
      </c>
      <c r="F280" s="86" t="s">
        <v>430</v>
      </c>
      <c r="G280" s="86" t="s">
        <v>430</v>
      </c>
      <c r="H280" s="71">
        <f aca="true" t="shared" si="61" ref="H280:P280">SUM(H277:H279)</f>
        <v>15615.8</v>
      </c>
      <c r="I280" s="71">
        <f t="shared" si="61"/>
        <v>15615.8</v>
      </c>
      <c r="J280" s="71">
        <f t="shared" si="61"/>
        <v>12385.95</v>
      </c>
      <c r="K280" s="197">
        <f t="shared" si="61"/>
        <v>645</v>
      </c>
      <c r="L280" s="71">
        <f t="shared" si="61"/>
        <v>16516690</v>
      </c>
      <c r="M280" s="71">
        <f t="shared" si="61"/>
        <v>0</v>
      </c>
      <c r="N280" s="71">
        <f t="shared" si="61"/>
        <v>0</v>
      </c>
      <c r="O280" s="71">
        <f t="shared" si="61"/>
        <v>0</v>
      </c>
      <c r="P280" s="71">
        <f t="shared" si="61"/>
        <v>16516690</v>
      </c>
      <c r="Q280" s="97">
        <f>L280/H280</f>
        <v>1057.690928418653</v>
      </c>
      <c r="R280" s="56" t="s">
        <v>430</v>
      </c>
      <c r="S280" s="56" t="s">
        <v>430</v>
      </c>
      <c r="T280" s="56" t="s">
        <v>430</v>
      </c>
      <c r="U280" s="190"/>
      <c r="X280" s="190"/>
    </row>
    <row r="281" spans="1:24" s="200" customFormat="1" ht="15">
      <c r="A281" s="140" t="s">
        <v>621</v>
      </c>
      <c r="B281" s="140"/>
      <c r="C281" s="140"/>
      <c r="D281" s="81" t="s">
        <v>430</v>
      </c>
      <c r="E281" s="81" t="s">
        <v>430</v>
      </c>
      <c r="F281" s="81" t="s">
        <v>430</v>
      </c>
      <c r="G281" s="81" t="s">
        <v>430</v>
      </c>
      <c r="H281" s="71">
        <f aca="true" t="shared" si="62" ref="H281:P281">H280+H275+H267+H259+H241</f>
        <v>68517.58</v>
      </c>
      <c r="I281" s="71">
        <f t="shared" si="62"/>
        <v>62705.43999999999</v>
      </c>
      <c r="J281" s="71">
        <f t="shared" si="62"/>
        <v>48304.369999999995</v>
      </c>
      <c r="K281" s="197">
        <f t="shared" si="62"/>
        <v>2921</v>
      </c>
      <c r="L281" s="71">
        <f t="shared" si="62"/>
        <v>107816027</v>
      </c>
      <c r="M281" s="71">
        <f t="shared" si="62"/>
        <v>0</v>
      </c>
      <c r="N281" s="71">
        <f t="shared" si="62"/>
        <v>0</v>
      </c>
      <c r="O281" s="71">
        <f t="shared" si="62"/>
        <v>0</v>
      </c>
      <c r="P281" s="71">
        <f t="shared" si="62"/>
        <v>107816027</v>
      </c>
      <c r="Q281" s="97">
        <f>L281/H281</f>
        <v>1573.552758284808</v>
      </c>
      <c r="R281" s="56" t="s">
        <v>430</v>
      </c>
      <c r="S281" s="56" t="s">
        <v>430</v>
      </c>
      <c r="T281" s="56" t="s">
        <v>430</v>
      </c>
      <c r="U281" s="190"/>
      <c r="X281" s="190"/>
    </row>
    <row r="282" spans="1:24" s="200" customFormat="1" ht="15" customHeight="1">
      <c r="A282" s="201" t="s">
        <v>806</v>
      </c>
      <c r="B282" s="202"/>
      <c r="C282" s="202"/>
      <c r="D282" s="202"/>
      <c r="E282" s="202"/>
      <c r="F282" s="202"/>
      <c r="G282" s="202"/>
      <c r="H282" s="202"/>
      <c r="I282" s="202"/>
      <c r="J282" s="202"/>
      <c r="K282" s="202"/>
      <c r="L282" s="202"/>
      <c r="M282" s="202"/>
      <c r="N282" s="202"/>
      <c r="O282" s="202"/>
      <c r="P282" s="202"/>
      <c r="Q282" s="202"/>
      <c r="R282" s="202"/>
      <c r="S282" s="202"/>
      <c r="T282" s="203"/>
      <c r="X282" s="190"/>
    </row>
    <row r="283" spans="1:24" s="200" customFormat="1" ht="15" customHeight="1">
      <c r="A283" s="105" t="s">
        <v>819</v>
      </c>
      <c r="B283" s="110"/>
      <c r="C283" s="110"/>
      <c r="D283" s="110"/>
      <c r="E283" s="106"/>
      <c r="F283" s="178"/>
      <c r="G283" s="178"/>
      <c r="H283" s="178"/>
      <c r="I283" s="178"/>
      <c r="J283" s="178"/>
      <c r="K283" s="178"/>
      <c r="L283" s="178"/>
      <c r="M283" s="178"/>
      <c r="N283" s="178"/>
      <c r="O283" s="178"/>
      <c r="P283" s="178"/>
      <c r="Q283" s="178"/>
      <c r="R283" s="178"/>
      <c r="S283" s="178"/>
      <c r="T283" s="178"/>
      <c r="X283" s="190"/>
    </row>
    <row r="284" spans="1:24" s="200" customFormat="1" ht="15">
      <c r="A284" s="10">
        <f>A279+1</f>
        <v>207</v>
      </c>
      <c r="B284" s="59" t="s">
        <v>255</v>
      </c>
      <c r="C284" s="77">
        <v>1970</v>
      </c>
      <c r="D284" s="77"/>
      <c r="E284" s="92" t="s">
        <v>94</v>
      </c>
      <c r="F284" s="77">
        <v>2</v>
      </c>
      <c r="G284" s="77">
        <v>2</v>
      </c>
      <c r="H284" s="71">
        <v>580.4</v>
      </c>
      <c r="I284" s="71">
        <v>523.1</v>
      </c>
      <c r="J284" s="71">
        <v>252.5</v>
      </c>
      <c r="K284" s="197">
        <v>25</v>
      </c>
      <c r="L284" s="71">
        <f>'виды работ  (2)'!C283</f>
        <v>1211255</v>
      </c>
      <c r="M284" s="97">
        <v>0</v>
      </c>
      <c r="N284" s="97">
        <v>0</v>
      </c>
      <c r="O284" s="97">
        <v>0</v>
      </c>
      <c r="P284" s="97">
        <f>L284</f>
        <v>1211255</v>
      </c>
      <c r="Q284" s="97">
        <f>L284/H284</f>
        <v>2086.9314266023434</v>
      </c>
      <c r="R284" s="97">
        <v>42000</v>
      </c>
      <c r="S284" s="55" t="s">
        <v>843</v>
      </c>
      <c r="T284" s="92" t="s">
        <v>773</v>
      </c>
      <c r="X284" s="190"/>
    </row>
    <row r="285" spans="1:24" s="200" customFormat="1" ht="15">
      <c r="A285" s="10">
        <f>A284+1</f>
        <v>208</v>
      </c>
      <c r="B285" s="59" t="s">
        <v>256</v>
      </c>
      <c r="C285" s="77">
        <v>1970</v>
      </c>
      <c r="D285" s="77"/>
      <c r="E285" s="92" t="s">
        <v>94</v>
      </c>
      <c r="F285" s="77">
        <v>2</v>
      </c>
      <c r="G285" s="77">
        <v>2</v>
      </c>
      <c r="H285" s="71">
        <v>566.5</v>
      </c>
      <c r="I285" s="71">
        <v>517</v>
      </c>
      <c r="J285" s="71">
        <v>83.9</v>
      </c>
      <c r="K285" s="197">
        <v>28</v>
      </c>
      <c r="L285" s="71">
        <f>'виды работ  (2)'!C284</f>
        <v>1214793</v>
      </c>
      <c r="M285" s="97">
        <v>0</v>
      </c>
      <c r="N285" s="97">
        <v>0</v>
      </c>
      <c r="O285" s="97">
        <v>0</v>
      </c>
      <c r="P285" s="97">
        <f>L285</f>
        <v>1214793</v>
      </c>
      <c r="Q285" s="97">
        <f>L285/H285</f>
        <v>2144.3830538393645</v>
      </c>
      <c r="R285" s="97">
        <v>42000</v>
      </c>
      <c r="S285" s="55" t="s">
        <v>843</v>
      </c>
      <c r="T285" s="92" t="s">
        <v>773</v>
      </c>
      <c r="X285" s="190"/>
    </row>
    <row r="286" spans="1:24" s="200" customFormat="1" ht="15">
      <c r="A286" s="10">
        <f>A285+1</f>
        <v>209</v>
      </c>
      <c r="B286" s="59" t="s">
        <v>257</v>
      </c>
      <c r="C286" s="77">
        <v>1973</v>
      </c>
      <c r="D286" s="77"/>
      <c r="E286" s="92" t="s">
        <v>94</v>
      </c>
      <c r="F286" s="77">
        <v>2</v>
      </c>
      <c r="G286" s="77">
        <v>2</v>
      </c>
      <c r="H286" s="71">
        <v>817</v>
      </c>
      <c r="I286" s="71">
        <v>750.8</v>
      </c>
      <c r="J286" s="71">
        <v>218</v>
      </c>
      <c r="K286" s="197">
        <v>31</v>
      </c>
      <c r="L286" s="71">
        <f>'виды работ  (2)'!C285</f>
        <v>1237798</v>
      </c>
      <c r="M286" s="97">
        <v>0</v>
      </c>
      <c r="N286" s="97">
        <v>0</v>
      </c>
      <c r="O286" s="97">
        <v>0</v>
      </c>
      <c r="P286" s="97">
        <f>L286</f>
        <v>1237798</v>
      </c>
      <c r="Q286" s="97">
        <f>L286/H286</f>
        <v>1515.0526315789473</v>
      </c>
      <c r="R286" s="97">
        <v>42000</v>
      </c>
      <c r="S286" s="55" t="s">
        <v>843</v>
      </c>
      <c r="T286" s="92" t="s">
        <v>773</v>
      </c>
      <c r="X286" s="190"/>
    </row>
    <row r="287" spans="1:24" s="200" customFormat="1" ht="15">
      <c r="A287" s="10">
        <f>A286+1</f>
        <v>210</v>
      </c>
      <c r="B287" s="59" t="s">
        <v>258</v>
      </c>
      <c r="C287" s="77">
        <v>1978</v>
      </c>
      <c r="D287" s="77"/>
      <c r="E287" s="92" t="s">
        <v>94</v>
      </c>
      <c r="F287" s="77">
        <v>2</v>
      </c>
      <c r="G287" s="77">
        <v>2</v>
      </c>
      <c r="H287" s="71">
        <v>836.4</v>
      </c>
      <c r="I287" s="71">
        <v>771.8</v>
      </c>
      <c r="J287" s="71">
        <v>148.3</v>
      </c>
      <c r="K287" s="197">
        <v>39</v>
      </c>
      <c r="L287" s="71">
        <f>'виды работ  (2)'!C286</f>
        <v>1239462</v>
      </c>
      <c r="M287" s="97">
        <v>0</v>
      </c>
      <c r="N287" s="97">
        <v>0</v>
      </c>
      <c r="O287" s="97">
        <v>0</v>
      </c>
      <c r="P287" s="97">
        <f>L287</f>
        <v>1239462</v>
      </c>
      <c r="Q287" s="97">
        <f>L287/H287</f>
        <v>1481.9010043041608</v>
      </c>
      <c r="R287" s="97">
        <v>42000</v>
      </c>
      <c r="S287" s="55" t="s">
        <v>843</v>
      </c>
      <c r="T287" s="92" t="s">
        <v>773</v>
      </c>
      <c r="X287" s="190"/>
    </row>
    <row r="288" spans="1:24" s="200" customFormat="1" ht="15">
      <c r="A288" s="117" t="s">
        <v>597</v>
      </c>
      <c r="B288" s="117"/>
      <c r="C288" s="86" t="s">
        <v>430</v>
      </c>
      <c r="D288" s="86" t="s">
        <v>430</v>
      </c>
      <c r="E288" s="86" t="s">
        <v>430</v>
      </c>
      <c r="F288" s="86" t="s">
        <v>430</v>
      </c>
      <c r="G288" s="86" t="s">
        <v>430</v>
      </c>
      <c r="H288" s="71">
        <f>SUM(H284:H287)</f>
        <v>2800.3</v>
      </c>
      <c r="I288" s="71">
        <f aca="true" t="shared" si="63" ref="I288:P288">SUM(I284:I287)</f>
        <v>2562.7</v>
      </c>
      <c r="J288" s="71">
        <f t="shared" si="63"/>
        <v>702.7</v>
      </c>
      <c r="K288" s="197">
        <f t="shared" si="63"/>
        <v>123</v>
      </c>
      <c r="L288" s="71">
        <f t="shared" si="63"/>
        <v>4903308</v>
      </c>
      <c r="M288" s="71">
        <f t="shared" si="63"/>
        <v>0</v>
      </c>
      <c r="N288" s="71">
        <f t="shared" si="63"/>
        <v>0</v>
      </c>
      <c r="O288" s="71">
        <f t="shared" si="63"/>
        <v>0</v>
      </c>
      <c r="P288" s="71">
        <f t="shared" si="63"/>
        <v>4903308</v>
      </c>
      <c r="Q288" s="97">
        <f>L288/H288</f>
        <v>1750.99382209049</v>
      </c>
      <c r="R288" s="56" t="s">
        <v>430</v>
      </c>
      <c r="S288" s="56" t="s">
        <v>430</v>
      </c>
      <c r="T288" s="56" t="s">
        <v>430</v>
      </c>
      <c r="U288" s="190"/>
      <c r="X288" s="190"/>
    </row>
    <row r="289" spans="1:24" s="200" customFormat="1" ht="15" customHeight="1">
      <c r="A289" s="105" t="s">
        <v>622</v>
      </c>
      <c r="B289" s="110"/>
      <c r="C289" s="110"/>
      <c r="D289" s="110"/>
      <c r="E289" s="106"/>
      <c r="F289" s="178"/>
      <c r="G289" s="178"/>
      <c r="H289" s="178"/>
      <c r="I289" s="178"/>
      <c r="J289" s="178"/>
      <c r="K289" s="178"/>
      <c r="L289" s="178"/>
      <c r="M289" s="178"/>
      <c r="N289" s="178"/>
      <c r="O289" s="178"/>
      <c r="P289" s="178"/>
      <c r="Q289" s="178"/>
      <c r="R289" s="178"/>
      <c r="S289" s="178"/>
      <c r="T289" s="178"/>
      <c r="X289" s="190"/>
    </row>
    <row r="290" spans="1:24" s="43" customFormat="1" ht="15">
      <c r="A290" s="10">
        <f>A287+1</f>
        <v>211</v>
      </c>
      <c r="B290" s="59" t="s">
        <v>726</v>
      </c>
      <c r="C290" s="39">
        <v>1917</v>
      </c>
      <c r="D290" s="63"/>
      <c r="E290" s="92" t="s">
        <v>94</v>
      </c>
      <c r="F290" s="10">
        <v>2</v>
      </c>
      <c r="G290" s="10">
        <v>3</v>
      </c>
      <c r="H290" s="86">
        <v>1624.8</v>
      </c>
      <c r="I290" s="86">
        <v>708</v>
      </c>
      <c r="J290" s="86">
        <v>681.6</v>
      </c>
      <c r="K290" s="10">
        <v>23</v>
      </c>
      <c r="L290" s="86">
        <f>'виды работ  (2)'!C289</f>
        <v>1233452</v>
      </c>
      <c r="M290" s="86">
        <v>0</v>
      </c>
      <c r="N290" s="86">
        <v>0</v>
      </c>
      <c r="O290" s="86">
        <v>0</v>
      </c>
      <c r="P290" s="86">
        <f>L290</f>
        <v>1233452</v>
      </c>
      <c r="Q290" s="86">
        <f>L290/H290</f>
        <v>759.1408173313639</v>
      </c>
      <c r="R290" s="97">
        <v>42000</v>
      </c>
      <c r="S290" s="55" t="s">
        <v>843</v>
      </c>
      <c r="T290" s="92" t="s">
        <v>773</v>
      </c>
      <c r="X290" s="190"/>
    </row>
    <row r="291" spans="1:24" s="43" customFormat="1" ht="15">
      <c r="A291" s="10">
        <f>A290+1</f>
        <v>212</v>
      </c>
      <c r="B291" s="59" t="s">
        <v>727</v>
      </c>
      <c r="C291" s="39">
        <v>1917</v>
      </c>
      <c r="D291" s="63"/>
      <c r="E291" s="92" t="s">
        <v>94</v>
      </c>
      <c r="F291" s="10">
        <v>3</v>
      </c>
      <c r="G291" s="10">
        <v>2</v>
      </c>
      <c r="H291" s="86">
        <v>1105.83</v>
      </c>
      <c r="I291" s="86">
        <v>717</v>
      </c>
      <c r="J291" s="86">
        <v>575.1</v>
      </c>
      <c r="K291" s="10">
        <v>20</v>
      </c>
      <c r="L291" s="86">
        <f>'виды работ  (2)'!C290</f>
        <v>891868</v>
      </c>
      <c r="M291" s="86">
        <v>0</v>
      </c>
      <c r="N291" s="86">
        <v>0</v>
      </c>
      <c r="O291" s="86">
        <v>0</v>
      </c>
      <c r="P291" s="86">
        <f>L291</f>
        <v>891868</v>
      </c>
      <c r="Q291" s="86">
        <f>L291/H291</f>
        <v>806.5145637213677</v>
      </c>
      <c r="R291" s="97">
        <v>42000</v>
      </c>
      <c r="S291" s="55" t="s">
        <v>843</v>
      </c>
      <c r="T291" s="92" t="s">
        <v>773</v>
      </c>
      <c r="X291" s="190"/>
    </row>
    <row r="292" spans="1:24" s="200" customFormat="1" ht="15">
      <c r="A292" s="10">
        <f aca="true" t="shared" si="64" ref="A292:A338">A291+1</f>
        <v>213</v>
      </c>
      <c r="B292" s="204" t="s">
        <v>780</v>
      </c>
      <c r="C292" s="39">
        <v>1917</v>
      </c>
      <c r="D292" s="205"/>
      <c r="E292" s="92" t="s">
        <v>94</v>
      </c>
      <c r="F292" s="72">
        <v>2</v>
      </c>
      <c r="G292" s="10">
        <v>2</v>
      </c>
      <c r="H292" s="97">
        <v>310.3</v>
      </c>
      <c r="I292" s="97">
        <v>310.3</v>
      </c>
      <c r="J292" s="86">
        <v>157.8</v>
      </c>
      <c r="K292" s="10">
        <v>5</v>
      </c>
      <c r="L292" s="86">
        <f>'виды работ  (2)'!C291</f>
        <v>841556</v>
      </c>
      <c r="M292" s="86">
        <v>0</v>
      </c>
      <c r="N292" s="86">
        <v>0</v>
      </c>
      <c r="O292" s="86">
        <v>0</v>
      </c>
      <c r="P292" s="86">
        <f aca="true" t="shared" si="65" ref="P292:P338">L292</f>
        <v>841556</v>
      </c>
      <c r="Q292" s="86">
        <f aca="true" t="shared" si="66" ref="Q292:Q338">L292/H292</f>
        <v>2712.072188204963</v>
      </c>
      <c r="R292" s="97">
        <v>42000</v>
      </c>
      <c r="S292" s="55" t="s">
        <v>843</v>
      </c>
      <c r="T292" s="92" t="s">
        <v>773</v>
      </c>
      <c r="X292" s="190"/>
    </row>
    <row r="293" spans="1:24" s="43" customFormat="1" ht="15">
      <c r="A293" s="10">
        <f t="shared" si="64"/>
        <v>214</v>
      </c>
      <c r="B293" s="13" t="s">
        <v>728</v>
      </c>
      <c r="C293" s="39">
        <v>1941</v>
      </c>
      <c r="D293" s="39"/>
      <c r="E293" s="92" t="s">
        <v>94</v>
      </c>
      <c r="F293" s="39">
        <v>4</v>
      </c>
      <c r="G293" s="39">
        <v>3</v>
      </c>
      <c r="H293" s="86">
        <v>2167.14</v>
      </c>
      <c r="I293" s="86">
        <v>1715.83</v>
      </c>
      <c r="J293" s="86">
        <v>1546.6</v>
      </c>
      <c r="K293" s="10">
        <v>10</v>
      </c>
      <c r="L293" s="86">
        <f>'виды работ  (2)'!C292</f>
        <v>6117968</v>
      </c>
      <c r="M293" s="86">
        <v>0</v>
      </c>
      <c r="N293" s="86">
        <v>0</v>
      </c>
      <c r="O293" s="86">
        <v>0</v>
      </c>
      <c r="P293" s="86">
        <f t="shared" si="65"/>
        <v>6117968</v>
      </c>
      <c r="Q293" s="86">
        <f t="shared" si="66"/>
        <v>2823.060808254197</v>
      </c>
      <c r="R293" s="97">
        <v>42000</v>
      </c>
      <c r="S293" s="55" t="s">
        <v>843</v>
      </c>
      <c r="T293" s="92" t="s">
        <v>773</v>
      </c>
      <c r="X293" s="190"/>
    </row>
    <row r="294" spans="1:24" s="200" customFormat="1" ht="15">
      <c r="A294" s="10">
        <f t="shared" si="64"/>
        <v>215</v>
      </c>
      <c r="B294" s="13" t="s">
        <v>821</v>
      </c>
      <c r="C294" s="39">
        <v>1939</v>
      </c>
      <c r="D294" s="205"/>
      <c r="E294" s="92" t="s">
        <v>94</v>
      </c>
      <c r="F294" s="72">
        <v>4</v>
      </c>
      <c r="G294" s="10">
        <v>3</v>
      </c>
      <c r="H294" s="97">
        <v>2100.56</v>
      </c>
      <c r="I294" s="97">
        <v>2100.56</v>
      </c>
      <c r="J294" s="86">
        <v>1643.27</v>
      </c>
      <c r="K294" s="10">
        <v>133</v>
      </c>
      <c r="L294" s="86">
        <f>'виды работ  (2)'!C293</f>
        <v>7620706</v>
      </c>
      <c r="M294" s="86">
        <v>0</v>
      </c>
      <c r="N294" s="86">
        <v>0</v>
      </c>
      <c r="O294" s="86">
        <v>0</v>
      </c>
      <c r="P294" s="86">
        <f t="shared" si="65"/>
        <v>7620706</v>
      </c>
      <c r="Q294" s="86">
        <f t="shared" si="66"/>
        <v>3627.940168336063</v>
      </c>
      <c r="R294" s="97">
        <v>42000</v>
      </c>
      <c r="S294" s="55" t="s">
        <v>843</v>
      </c>
      <c r="T294" s="92" t="s">
        <v>773</v>
      </c>
      <c r="X294" s="190"/>
    </row>
    <row r="295" spans="1:24" s="43" customFormat="1" ht="15">
      <c r="A295" s="10">
        <f t="shared" si="64"/>
        <v>216</v>
      </c>
      <c r="B295" s="13" t="s">
        <v>729</v>
      </c>
      <c r="C295" s="92">
        <v>1917</v>
      </c>
      <c r="D295" s="64"/>
      <c r="E295" s="92" t="s">
        <v>94</v>
      </c>
      <c r="F295" s="92">
        <v>2</v>
      </c>
      <c r="G295" s="92">
        <v>2</v>
      </c>
      <c r="H295" s="62">
        <v>633.74</v>
      </c>
      <c r="I295" s="86">
        <v>590.7</v>
      </c>
      <c r="J295" s="86">
        <v>364.7</v>
      </c>
      <c r="K295" s="10">
        <v>33</v>
      </c>
      <c r="L295" s="86">
        <f>'виды работ  (2)'!C294</f>
        <v>6975601</v>
      </c>
      <c r="M295" s="86">
        <v>0</v>
      </c>
      <c r="N295" s="86">
        <v>0</v>
      </c>
      <c r="O295" s="86">
        <v>0</v>
      </c>
      <c r="P295" s="86">
        <f t="shared" si="65"/>
        <v>6975601</v>
      </c>
      <c r="Q295" s="86">
        <f t="shared" si="66"/>
        <v>11007.039164326065</v>
      </c>
      <c r="R295" s="97">
        <v>42000</v>
      </c>
      <c r="S295" s="55" t="s">
        <v>843</v>
      </c>
      <c r="T295" s="92" t="s">
        <v>773</v>
      </c>
      <c r="X295" s="190"/>
    </row>
    <row r="296" spans="1:24" s="200" customFormat="1" ht="15">
      <c r="A296" s="10">
        <f t="shared" si="64"/>
        <v>217</v>
      </c>
      <c r="B296" s="204" t="s">
        <v>782</v>
      </c>
      <c r="C296" s="95">
        <v>1962</v>
      </c>
      <c r="D296" s="72"/>
      <c r="E296" s="92" t="s">
        <v>94</v>
      </c>
      <c r="F296" s="72">
        <v>2</v>
      </c>
      <c r="G296" s="10">
        <v>2</v>
      </c>
      <c r="H296" s="97">
        <v>641.89</v>
      </c>
      <c r="I296" s="97">
        <v>641.89</v>
      </c>
      <c r="J296" s="97">
        <v>531.36</v>
      </c>
      <c r="K296" s="10">
        <v>33</v>
      </c>
      <c r="L296" s="86">
        <f>'виды работ  (2)'!C295</f>
        <v>1294145</v>
      </c>
      <c r="M296" s="86">
        <v>0</v>
      </c>
      <c r="N296" s="86">
        <v>0</v>
      </c>
      <c r="O296" s="86">
        <v>0</v>
      </c>
      <c r="P296" s="86">
        <f t="shared" si="65"/>
        <v>1294145</v>
      </c>
      <c r="Q296" s="86">
        <f t="shared" si="66"/>
        <v>2016.147626540373</v>
      </c>
      <c r="R296" s="97">
        <v>42000</v>
      </c>
      <c r="S296" s="55" t="s">
        <v>843</v>
      </c>
      <c r="T296" s="92" t="s">
        <v>773</v>
      </c>
      <c r="X296" s="190"/>
    </row>
    <row r="297" spans="1:24" s="200" customFormat="1" ht="15">
      <c r="A297" s="10">
        <f t="shared" si="64"/>
        <v>218</v>
      </c>
      <c r="B297" s="204" t="s">
        <v>783</v>
      </c>
      <c r="C297" s="92">
        <v>1917</v>
      </c>
      <c r="D297" s="206">
        <v>1963</v>
      </c>
      <c r="E297" s="92" t="s">
        <v>465</v>
      </c>
      <c r="F297" s="72">
        <v>2</v>
      </c>
      <c r="G297" s="92">
        <v>2</v>
      </c>
      <c r="H297" s="97">
        <v>452.88</v>
      </c>
      <c r="I297" s="97">
        <v>452.88</v>
      </c>
      <c r="J297" s="86">
        <v>384.2</v>
      </c>
      <c r="K297" s="10">
        <v>33</v>
      </c>
      <c r="L297" s="86">
        <f>'виды работ  (2)'!C296</f>
        <v>2081734</v>
      </c>
      <c r="M297" s="86">
        <v>0</v>
      </c>
      <c r="N297" s="86">
        <v>0</v>
      </c>
      <c r="O297" s="86">
        <v>0</v>
      </c>
      <c r="P297" s="86">
        <f t="shared" si="65"/>
        <v>2081734</v>
      </c>
      <c r="Q297" s="86">
        <f t="shared" si="66"/>
        <v>4596.656951068716</v>
      </c>
      <c r="R297" s="97">
        <v>42000</v>
      </c>
      <c r="S297" s="55" t="s">
        <v>843</v>
      </c>
      <c r="T297" s="92" t="s">
        <v>773</v>
      </c>
      <c r="X297" s="190"/>
    </row>
    <row r="298" spans="1:24" s="43" customFormat="1" ht="15">
      <c r="A298" s="10">
        <f t="shared" si="64"/>
        <v>219</v>
      </c>
      <c r="B298" s="59" t="s">
        <v>730</v>
      </c>
      <c r="C298" s="95">
        <v>1949</v>
      </c>
      <c r="D298" s="95"/>
      <c r="E298" s="92" t="s">
        <v>94</v>
      </c>
      <c r="F298" s="65">
        <v>2</v>
      </c>
      <c r="G298" s="65">
        <v>2</v>
      </c>
      <c r="H298" s="97">
        <v>474</v>
      </c>
      <c r="I298" s="97">
        <v>448.6</v>
      </c>
      <c r="J298" s="97">
        <v>357.2</v>
      </c>
      <c r="K298" s="96">
        <v>25</v>
      </c>
      <c r="L298" s="86">
        <f>'виды работ  (2)'!C297</f>
        <v>751634</v>
      </c>
      <c r="M298" s="86">
        <v>0</v>
      </c>
      <c r="N298" s="86">
        <v>0</v>
      </c>
      <c r="O298" s="86">
        <v>0</v>
      </c>
      <c r="P298" s="86">
        <f t="shared" si="65"/>
        <v>751634</v>
      </c>
      <c r="Q298" s="86">
        <f t="shared" si="66"/>
        <v>1585.7257383966244</v>
      </c>
      <c r="R298" s="97">
        <v>42000</v>
      </c>
      <c r="S298" s="55" t="s">
        <v>843</v>
      </c>
      <c r="T298" s="92" t="s">
        <v>773</v>
      </c>
      <c r="X298" s="190"/>
    </row>
    <row r="299" spans="1:24" s="43" customFormat="1" ht="15">
      <c r="A299" s="10">
        <f t="shared" si="64"/>
        <v>220</v>
      </c>
      <c r="B299" s="59" t="s">
        <v>731</v>
      </c>
      <c r="C299" s="39">
        <v>1951</v>
      </c>
      <c r="D299" s="66"/>
      <c r="E299" s="92" t="s">
        <v>465</v>
      </c>
      <c r="F299" s="10">
        <v>2</v>
      </c>
      <c r="G299" s="10">
        <v>1</v>
      </c>
      <c r="H299" s="86">
        <v>503.08</v>
      </c>
      <c r="I299" s="86">
        <v>503.8</v>
      </c>
      <c r="J299" s="86">
        <v>382.8</v>
      </c>
      <c r="K299" s="10">
        <v>11</v>
      </c>
      <c r="L299" s="86">
        <f>'виды работ  (2)'!C298</f>
        <v>695035</v>
      </c>
      <c r="M299" s="86">
        <v>0</v>
      </c>
      <c r="N299" s="86">
        <v>0</v>
      </c>
      <c r="O299" s="86">
        <v>0</v>
      </c>
      <c r="P299" s="86">
        <f t="shared" si="65"/>
        <v>695035</v>
      </c>
      <c r="Q299" s="86">
        <f t="shared" si="66"/>
        <v>1381.5595929076887</v>
      </c>
      <c r="R299" s="97">
        <v>42000</v>
      </c>
      <c r="S299" s="55" t="s">
        <v>843</v>
      </c>
      <c r="T299" s="92" t="s">
        <v>773</v>
      </c>
      <c r="X299" s="190"/>
    </row>
    <row r="300" spans="1:24" s="43" customFormat="1" ht="15">
      <c r="A300" s="10">
        <f t="shared" si="64"/>
        <v>221</v>
      </c>
      <c r="B300" s="59" t="s">
        <v>732</v>
      </c>
      <c r="C300" s="39">
        <v>1954</v>
      </c>
      <c r="D300" s="66"/>
      <c r="E300" s="92" t="s">
        <v>94</v>
      </c>
      <c r="F300" s="10">
        <v>2</v>
      </c>
      <c r="G300" s="10">
        <v>1</v>
      </c>
      <c r="H300" s="86">
        <v>226.51</v>
      </c>
      <c r="I300" s="86">
        <v>226.5</v>
      </c>
      <c r="J300" s="86">
        <v>169.6</v>
      </c>
      <c r="K300" s="10">
        <v>9</v>
      </c>
      <c r="L300" s="86">
        <f>'виды работ  (2)'!C299</f>
        <v>463501</v>
      </c>
      <c r="M300" s="86">
        <v>0</v>
      </c>
      <c r="N300" s="86">
        <v>0</v>
      </c>
      <c r="O300" s="86">
        <v>0</v>
      </c>
      <c r="P300" s="86">
        <f t="shared" si="65"/>
        <v>463501</v>
      </c>
      <c r="Q300" s="86">
        <f t="shared" si="66"/>
        <v>2046.2716877842038</v>
      </c>
      <c r="R300" s="97">
        <v>42000</v>
      </c>
      <c r="S300" s="55" t="s">
        <v>843</v>
      </c>
      <c r="T300" s="92" t="s">
        <v>773</v>
      </c>
      <c r="X300" s="190"/>
    </row>
    <row r="301" spans="1:24" s="200" customFormat="1" ht="15">
      <c r="A301" s="10">
        <f t="shared" si="64"/>
        <v>222</v>
      </c>
      <c r="B301" s="59" t="s">
        <v>260</v>
      </c>
      <c r="C301" s="77">
        <v>1963</v>
      </c>
      <c r="D301" s="77"/>
      <c r="E301" s="92" t="s">
        <v>94</v>
      </c>
      <c r="F301" s="77">
        <v>2</v>
      </c>
      <c r="G301" s="77">
        <v>1</v>
      </c>
      <c r="H301" s="71">
        <v>281.3</v>
      </c>
      <c r="I301" s="71">
        <v>281.3</v>
      </c>
      <c r="J301" s="71">
        <v>281.3</v>
      </c>
      <c r="K301" s="197">
        <v>10</v>
      </c>
      <c r="L301" s="86">
        <f>'виды работ  (2)'!C300</f>
        <v>1980523</v>
      </c>
      <c r="M301" s="86">
        <v>0</v>
      </c>
      <c r="N301" s="86">
        <v>0</v>
      </c>
      <c r="O301" s="86">
        <v>0</v>
      </c>
      <c r="P301" s="86">
        <f t="shared" si="65"/>
        <v>1980523</v>
      </c>
      <c r="Q301" s="86">
        <f t="shared" si="66"/>
        <v>7040.607891930324</v>
      </c>
      <c r="R301" s="97">
        <v>42000</v>
      </c>
      <c r="S301" s="55" t="s">
        <v>843</v>
      </c>
      <c r="T301" s="92" t="s">
        <v>773</v>
      </c>
      <c r="X301" s="190"/>
    </row>
    <row r="302" spans="1:24" s="200" customFormat="1" ht="15">
      <c r="A302" s="10">
        <f t="shared" si="64"/>
        <v>223</v>
      </c>
      <c r="B302" s="204" t="s">
        <v>778</v>
      </c>
      <c r="C302" s="39">
        <v>1917</v>
      </c>
      <c r="D302" s="207"/>
      <c r="E302" s="92" t="s">
        <v>94</v>
      </c>
      <c r="F302" s="72">
        <v>2</v>
      </c>
      <c r="G302" s="10">
        <v>1</v>
      </c>
      <c r="H302" s="97">
        <v>186.5</v>
      </c>
      <c r="I302" s="97">
        <v>186.5</v>
      </c>
      <c r="J302" s="86">
        <v>138</v>
      </c>
      <c r="K302" s="10">
        <v>15</v>
      </c>
      <c r="L302" s="86">
        <f>'виды работ  (2)'!C301</f>
        <v>1469768</v>
      </c>
      <c r="M302" s="86">
        <v>0</v>
      </c>
      <c r="N302" s="86">
        <v>0</v>
      </c>
      <c r="O302" s="86">
        <v>0</v>
      </c>
      <c r="P302" s="86">
        <f t="shared" si="65"/>
        <v>1469768</v>
      </c>
      <c r="Q302" s="86">
        <f t="shared" si="66"/>
        <v>7880.793565683646</v>
      </c>
      <c r="R302" s="97">
        <v>42000</v>
      </c>
      <c r="S302" s="55" t="s">
        <v>843</v>
      </c>
      <c r="T302" s="92" t="s">
        <v>773</v>
      </c>
      <c r="X302" s="190"/>
    </row>
    <row r="303" spans="1:24" s="200" customFormat="1" ht="15">
      <c r="A303" s="10">
        <f t="shared" si="64"/>
        <v>224</v>
      </c>
      <c r="B303" s="204" t="s">
        <v>779</v>
      </c>
      <c r="C303" s="92">
        <v>1917</v>
      </c>
      <c r="D303" s="208">
        <v>1974</v>
      </c>
      <c r="E303" s="92" t="s">
        <v>94</v>
      </c>
      <c r="F303" s="72">
        <v>3</v>
      </c>
      <c r="G303" s="92">
        <v>1</v>
      </c>
      <c r="H303" s="97">
        <v>111.03</v>
      </c>
      <c r="I303" s="97">
        <v>111.03</v>
      </c>
      <c r="J303" s="86">
        <v>56</v>
      </c>
      <c r="K303" s="10">
        <v>4</v>
      </c>
      <c r="L303" s="86">
        <f>'виды работ  (2)'!C302</f>
        <v>4463402</v>
      </c>
      <c r="M303" s="86">
        <v>0</v>
      </c>
      <c r="N303" s="86">
        <v>0</v>
      </c>
      <c r="O303" s="86">
        <v>0</v>
      </c>
      <c r="P303" s="86">
        <f t="shared" si="65"/>
        <v>4463402</v>
      </c>
      <c r="Q303" s="86">
        <f t="shared" si="66"/>
        <v>40199.963973700804</v>
      </c>
      <c r="R303" s="97">
        <v>42000</v>
      </c>
      <c r="S303" s="55" t="s">
        <v>843</v>
      </c>
      <c r="T303" s="92" t="s">
        <v>773</v>
      </c>
      <c r="X303" s="190"/>
    </row>
    <row r="304" spans="1:24" s="200" customFormat="1" ht="15">
      <c r="A304" s="10">
        <f t="shared" si="64"/>
        <v>225</v>
      </c>
      <c r="B304" s="59" t="s">
        <v>259</v>
      </c>
      <c r="C304" s="77">
        <v>1991</v>
      </c>
      <c r="D304" s="77"/>
      <c r="E304" s="92" t="s">
        <v>411</v>
      </c>
      <c r="F304" s="77">
        <v>9</v>
      </c>
      <c r="G304" s="77">
        <v>2</v>
      </c>
      <c r="H304" s="71">
        <v>3951.6</v>
      </c>
      <c r="I304" s="71">
        <v>3951.6</v>
      </c>
      <c r="J304" s="71">
        <v>3606.9</v>
      </c>
      <c r="K304" s="197">
        <v>170</v>
      </c>
      <c r="L304" s="86">
        <f>'виды работ  (2)'!C303</f>
        <v>12413572</v>
      </c>
      <c r="M304" s="86">
        <v>0</v>
      </c>
      <c r="N304" s="86">
        <v>0</v>
      </c>
      <c r="O304" s="86">
        <v>0</v>
      </c>
      <c r="P304" s="86">
        <f t="shared" si="65"/>
        <v>12413572</v>
      </c>
      <c r="Q304" s="86">
        <f t="shared" si="66"/>
        <v>3141.403988257921</v>
      </c>
      <c r="R304" s="97">
        <v>42000</v>
      </c>
      <c r="S304" s="55" t="s">
        <v>843</v>
      </c>
      <c r="T304" s="92" t="s">
        <v>773</v>
      </c>
      <c r="X304" s="190"/>
    </row>
    <row r="305" spans="1:24" s="43" customFormat="1" ht="15">
      <c r="A305" s="10">
        <f t="shared" si="64"/>
        <v>226</v>
      </c>
      <c r="B305" s="59" t="s">
        <v>733</v>
      </c>
      <c r="C305" s="39">
        <v>1954</v>
      </c>
      <c r="D305" s="66"/>
      <c r="E305" s="92" t="s">
        <v>465</v>
      </c>
      <c r="F305" s="10">
        <v>2</v>
      </c>
      <c r="G305" s="10">
        <v>1</v>
      </c>
      <c r="H305" s="86">
        <v>261.39</v>
      </c>
      <c r="I305" s="86">
        <v>261.3</v>
      </c>
      <c r="J305" s="86">
        <v>130.5</v>
      </c>
      <c r="K305" s="10">
        <v>8</v>
      </c>
      <c r="L305" s="86">
        <f>'виды работ  (2)'!C304</f>
        <v>764409</v>
      </c>
      <c r="M305" s="86">
        <v>0</v>
      </c>
      <c r="N305" s="86">
        <v>0</v>
      </c>
      <c r="O305" s="86">
        <v>0</v>
      </c>
      <c r="P305" s="86">
        <f t="shared" si="65"/>
        <v>764409</v>
      </c>
      <c r="Q305" s="86">
        <f t="shared" si="66"/>
        <v>2924.400321358889</v>
      </c>
      <c r="R305" s="97">
        <v>42000</v>
      </c>
      <c r="S305" s="55" t="s">
        <v>843</v>
      </c>
      <c r="T305" s="92" t="s">
        <v>773</v>
      </c>
      <c r="X305" s="190"/>
    </row>
    <row r="306" spans="1:24" s="43" customFormat="1" ht="15">
      <c r="A306" s="10">
        <f t="shared" si="64"/>
        <v>227</v>
      </c>
      <c r="B306" s="59" t="s">
        <v>734</v>
      </c>
      <c r="C306" s="39">
        <v>1917</v>
      </c>
      <c r="D306" s="66"/>
      <c r="E306" s="92" t="s">
        <v>465</v>
      </c>
      <c r="F306" s="10">
        <v>2</v>
      </c>
      <c r="G306" s="10">
        <v>1</v>
      </c>
      <c r="H306" s="86">
        <v>209.84</v>
      </c>
      <c r="I306" s="86">
        <v>209.8</v>
      </c>
      <c r="J306" s="86">
        <v>151.8</v>
      </c>
      <c r="K306" s="10">
        <v>10</v>
      </c>
      <c r="L306" s="86">
        <f>'виды работ  (2)'!C305</f>
        <v>439724</v>
      </c>
      <c r="M306" s="86">
        <v>0</v>
      </c>
      <c r="N306" s="86">
        <v>0</v>
      </c>
      <c r="O306" s="86">
        <v>0</v>
      </c>
      <c r="P306" s="86">
        <f t="shared" si="65"/>
        <v>439724</v>
      </c>
      <c r="Q306" s="86">
        <f t="shared" si="66"/>
        <v>2095.520396492566</v>
      </c>
      <c r="R306" s="97">
        <v>42000</v>
      </c>
      <c r="S306" s="55" t="s">
        <v>843</v>
      </c>
      <c r="T306" s="92" t="s">
        <v>773</v>
      </c>
      <c r="X306" s="190"/>
    </row>
    <row r="307" spans="1:24" s="43" customFormat="1" ht="15">
      <c r="A307" s="10">
        <f t="shared" si="64"/>
        <v>228</v>
      </c>
      <c r="B307" s="59" t="s">
        <v>735</v>
      </c>
      <c r="C307" s="95">
        <v>1917</v>
      </c>
      <c r="D307" s="95">
        <v>1951</v>
      </c>
      <c r="E307" s="92" t="s">
        <v>465</v>
      </c>
      <c r="F307" s="65">
        <v>2</v>
      </c>
      <c r="G307" s="65">
        <v>1</v>
      </c>
      <c r="H307" s="97">
        <v>492</v>
      </c>
      <c r="I307" s="97">
        <v>486.2</v>
      </c>
      <c r="J307" s="97">
        <v>311.2</v>
      </c>
      <c r="K307" s="96">
        <v>34</v>
      </c>
      <c r="L307" s="86">
        <f>'виды работ  (2)'!C306</f>
        <v>773171</v>
      </c>
      <c r="M307" s="86">
        <v>0</v>
      </c>
      <c r="N307" s="86">
        <v>0</v>
      </c>
      <c r="O307" s="86">
        <v>0</v>
      </c>
      <c r="P307" s="86">
        <f t="shared" si="65"/>
        <v>773171</v>
      </c>
      <c r="Q307" s="86">
        <f t="shared" si="66"/>
        <v>1571.4857723577236</v>
      </c>
      <c r="R307" s="97">
        <v>42000</v>
      </c>
      <c r="S307" s="55" t="s">
        <v>843</v>
      </c>
      <c r="T307" s="92" t="s">
        <v>773</v>
      </c>
      <c r="X307" s="190"/>
    </row>
    <row r="308" spans="1:24" s="200" customFormat="1" ht="15">
      <c r="A308" s="10">
        <f t="shared" si="64"/>
        <v>229</v>
      </c>
      <c r="B308" s="204" t="s">
        <v>784</v>
      </c>
      <c r="C308" s="39">
        <v>1917</v>
      </c>
      <c r="D308" s="207"/>
      <c r="E308" s="92" t="s">
        <v>94</v>
      </c>
      <c r="F308" s="72">
        <v>3</v>
      </c>
      <c r="G308" s="10">
        <v>3</v>
      </c>
      <c r="H308" s="97">
        <v>1974.78</v>
      </c>
      <c r="I308" s="97">
        <v>1974.78</v>
      </c>
      <c r="J308" s="86">
        <v>1720.05</v>
      </c>
      <c r="K308" s="10">
        <v>104</v>
      </c>
      <c r="L308" s="86">
        <f>'виды работ  (2)'!C307</f>
        <v>2165907</v>
      </c>
      <c r="M308" s="86">
        <v>0</v>
      </c>
      <c r="N308" s="86">
        <v>0</v>
      </c>
      <c r="O308" s="86">
        <v>0</v>
      </c>
      <c r="P308" s="86">
        <f t="shared" si="65"/>
        <v>2165907</v>
      </c>
      <c r="Q308" s="86">
        <f t="shared" si="66"/>
        <v>1096.7839455534288</v>
      </c>
      <c r="R308" s="97">
        <v>42000</v>
      </c>
      <c r="S308" s="55" t="s">
        <v>843</v>
      </c>
      <c r="T308" s="92" t="s">
        <v>773</v>
      </c>
      <c r="X308" s="190"/>
    </row>
    <row r="309" spans="1:24" s="43" customFormat="1" ht="15">
      <c r="A309" s="10">
        <f t="shared" si="64"/>
        <v>230</v>
      </c>
      <c r="B309" s="59" t="s">
        <v>736</v>
      </c>
      <c r="C309" s="39">
        <v>1917</v>
      </c>
      <c r="D309" s="63"/>
      <c r="E309" s="92" t="s">
        <v>465</v>
      </c>
      <c r="F309" s="10">
        <v>2</v>
      </c>
      <c r="G309" s="10">
        <v>1</v>
      </c>
      <c r="H309" s="86">
        <v>367</v>
      </c>
      <c r="I309" s="86">
        <v>367</v>
      </c>
      <c r="J309" s="86">
        <v>136.4</v>
      </c>
      <c r="K309" s="10">
        <v>5</v>
      </c>
      <c r="L309" s="86">
        <f>'виды работ  (2)'!C308</f>
        <v>690867</v>
      </c>
      <c r="M309" s="86">
        <v>0</v>
      </c>
      <c r="N309" s="86">
        <v>0</v>
      </c>
      <c r="O309" s="86">
        <v>0</v>
      </c>
      <c r="P309" s="86">
        <f t="shared" si="65"/>
        <v>690867</v>
      </c>
      <c r="Q309" s="86">
        <f t="shared" si="66"/>
        <v>1882.4713896457765</v>
      </c>
      <c r="R309" s="97">
        <v>42000</v>
      </c>
      <c r="S309" s="55" t="s">
        <v>843</v>
      </c>
      <c r="T309" s="92" t="s">
        <v>773</v>
      </c>
      <c r="X309" s="190"/>
    </row>
    <row r="310" spans="1:24" s="43" customFormat="1" ht="15">
      <c r="A310" s="10">
        <f t="shared" si="64"/>
        <v>231</v>
      </c>
      <c r="B310" s="59" t="s">
        <v>737</v>
      </c>
      <c r="C310" s="67">
        <v>1957</v>
      </c>
      <c r="D310" s="68"/>
      <c r="E310" s="92" t="s">
        <v>94</v>
      </c>
      <c r="F310" s="67">
        <v>3</v>
      </c>
      <c r="G310" s="67">
        <v>4</v>
      </c>
      <c r="H310" s="62">
        <v>2096.93</v>
      </c>
      <c r="I310" s="187">
        <v>1288.93</v>
      </c>
      <c r="J310" s="187">
        <v>1151.83</v>
      </c>
      <c r="K310" s="69">
        <v>70</v>
      </c>
      <c r="L310" s="86">
        <f>'виды работ  (2)'!C309</f>
        <v>8901372</v>
      </c>
      <c r="M310" s="86">
        <v>0</v>
      </c>
      <c r="N310" s="86">
        <v>0</v>
      </c>
      <c r="O310" s="86">
        <v>0</v>
      </c>
      <c r="P310" s="86">
        <f t="shared" si="65"/>
        <v>8901372</v>
      </c>
      <c r="Q310" s="86">
        <f t="shared" si="66"/>
        <v>4244.954290319658</v>
      </c>
      <c r="R310" s="97">
        <v>42000</v>
      </c>
      <c r="S310" s="55" t="s">
        <v>843</v>
      </c>
      <c r="T310" s="92" t="s">
        <v>773</v>
      </c>
      <c r="X310" s="190"/>
    </row>
    <row r="311" spans="1:24" s="43" customFormat="1" ht="15">
      <c r="A311" s="10">
        <f t="shared" si="64"/>
        <v>232</v>
      </c>
      <c r="B311" s="59" t="s">
        <v>738</v>
      </c>
      <c r="C311" s="39">
        <v>1917</v>
      </c>
      <c r="D311" s="66"/>
      <c r="E311" s="92" t="s">
        <v>465</v>
      </c>
      <c r="F311" s="10">
        <v>2</v>
      </c>
      <c r="G311" s="10">
        <v>1</v>
      </c>
      <c r="H311" s="86">
        <v>541.7</v>
      </c>
      <c r="I311" s="86">
        <v>541.7</v>
      </c>
      <c r="J311" s="86">
        <v>372.4</v>
      </c>
      <c r="K311" s="10">
        <v>9</v>
      </c>
      <c r="L311" s="86">
        <f>'виды работ  (2)'!C310</f>
        <v>678499</v>
      </c>
      <c r="M311" s="86">
        <v>0</v>
      </c>
      <c r="N311" s="86">
        <v>0</v>
      </c>
      <c r="O311" s="86">
        <v>0</v>
      </c>
      <c r="P311" s="86">
        <f t="shared" si="65"/>
        <v>678499</v>
      </c>
      <c r="Q311" s="86">
        <f t="shared" si="66"/>
        <v>1252.5364592948126</v>
      </c>
      <c r="R311" s="97">
        <v>42000</v>
      </c>
      <c r="S311" s="55" t="s">
        <v>843</v>
      </c>
      <c r="T311" s="92" t="s">
        <v>773</v>
      </c>
      <c r="X311" s="190"/>
    </row>
    <row r="312" spans="1:24" s="200" customFormat="1" ht="14.25" customHeight="1">
      <c r="A312" s="10">
        <f t="shared" si="64"/>
        <v>233</v>
      </c>
      <c r="B312" s="59" t="s">
        <v>268</v>
      </c>
      <c r="C312" s="77">
        <v>1940</v>
      </c>
      <c r="D312" s="77"/>
      <c r="E312" s="92" t="s">
        <v>465</v>
      </c>
      <c r="F312" s="77">
        <v>2</v>
      </c>
      <c r="G312" s="77">
        <v>1</v>
      </c>
      <c r="H312" s="71">
        <v>382.8</v>
      </c>
      <c r="I312" s="71">
        <v>382.8</v>
      </c>
      <c r="J312" s="71">
        <v>232.3</v>
      </c>
      <c r="K312" s="197">
        <v>19</v>
      </c>
      <c r="L312" s="86">
        <f>'виды работ  (2)'!C311</f>
        <v>4199938</v>
      </c>
      <c r="M312" s="86">
        <v>0</v>
      </c>
      <c r="N312" s="86">
        <v>0</v>
      </c>
      <c r="O312" s="86">
        <v>0</v>
      </c>
      <c r="P312" s="86">
        <f t="shared" si="65"/>
        <v>4199938</v>
      </c>
      <c r="Q312" s="86">
        <f t="shared" si="66"/>
        <v>10971.62486938349</v>
      </c>
      <c r="R312" s="97">
        <v>42000</v>
      </c>
      <c r="S312" s="55" t="s">
        <v>843</v>
      </c>
      <c r="T312" s="92" t="s">
        <v>773</v>
      </c>
      <c r="X312" s="190"/>
    </row>
    <row r="313" spans="1:24" s="200" customFormat="1" ht="15">
      <c r="A313" s="10">
        <f t="shared" si="64"/>
        <v>234</v>
      </c>
      <c r="B313" s="59" t="s">
        <v>269</v>
      </c>
      <c r="C313" s="77">
        <v>1917</v>
      </c>
      <c r="D313" s="77"/>
      <c r="E313" s="92" t="s">
        <v>465</v>
      </c>
      <c r="F313" s="77">
        <v>1</v>
      </c>
      <c r="G313" s="77">
        <v>1</v>
      </c>
      <c r="H313" s="71">
        <v>265.9</v>
      </c>
      <c r="I313" s="71">
        <v>265.9</v>
      </c>
      <c r="J313" s="71">
        <v>140.1</v>
      </c>
      <c r="K313" s="197">
        <v>15</v>
      </c>
      <c r="L313" s="86">
        <f>'виды работ  (2)'!C312</f>
        <v>2704797</v>
      </c>
      <c r="M313" s="86">
        <v>0</v>
      </c>
      <c r="N313" s="86">
        <v>0</v>
      </c>
      <c r="O313" s="86">
        <v>0</v>
      </c>
      <c r="P313" s="86">
        <f t="shared" si="65"/>
        <v>2704797</v>
      </c>
      <c r="Q313" s="86">
        <f t="shared" si="66"/>
        <v>10172.233922527266</v>
      </c>
      <c r="R313" s="97">
        <v>42000</v>
      </c>
      <c r="S313" s="55" t="s">
        <v>843</v>
      </c>
      <c r="T313" s="92" t="s">
        <v>773</v>
      </c>
      <c r="X313" s="190"/>
    </row>
    <row r="314" spans="1:24" s="43" customFormat="1" ht="15">
      <c r="A314" s="10">
        <f t="shared" si="64"/>
        <v>235</v>
      </c>
      <c r="B314" s="59" t="s">
        <v>739</v>
      </c>
      <c r="C314" s="95">
        <v>1952</v>
      </c>
      <c r="D314" s="95"/>
      <c r="E314" s="92" t="s">
        <v>94</v>
      </c>
      <c r="F314" s="65">
        <v>2</v>
      </c>
      <c r="G314" s="65">
        <v>2</v>
      </c>
      <c r="H314" s="97">
        <v>502</v>
      </c>
      <c r="I314" s="97">
        <v>479.9</v>
      </c>
      <c r="J314" s="97">
        <v>397.42</v>
      </c>
      <c r="K314" s="96">
        <v>22</v>
      </c>
      <c r="L314" s="86">
        <f>'виды работ  (2)'!C313</f>
        <v>1317404</v>
      </c>
      <c r="M314" s="86">
        <v>0</v>
      </c>
      <c r="N314" s="86">
        <v>0</v>
      </c>
      <c r="O314" s="86">
        <v>0</v>
      </c>
      <c r="P314" s="86">
        <f t="shared" si="65"/>
        <v>1317404</v>
      </c>
      <c r="Q314" s="86">
        <f t="shared" si="66"/>
        <v>2624.3107569721114</v>
      </c>
      <c r="R314" s="97">
        <v>42000</v>
      </c>
      <c r="S314" s="55" t="s">
        <v>843</v>
      </c>
      <c r="T314" s="92" t="s">
        <v>773</v>
      </c>
      <c r="X314" s="190"/>
    </row>
    <row r="315" spans="1:24" s="200" customFormat="1" ht="15">
      <c r="A315" s="10">
        <f t="shared" si="64"/>
        <v>236</v>
      </c>
      <c r="B315" s="204" t="s">
        <v>785</v>
      </c>
      <c r="C315" s="39">
        <v>1952</v>
      </c>
      <c r="D315" s="207"/>
      <c r="E315" s="92" t="s">
        <v>94</v>
      </c>
      <c r="F315" s="72">
        <v>2</v>
      </c>
      <c r="G315" s="10">
        <v>1</v>
      </c>
      <c r="H315" s="97">
        <v>373.92</v>
      </c>
      <c r="I315" s="97">
        <v>373.92</v>
      </c>
      <c r="J315" s="86">
        <v>329.6</v>
      </c>
      <c r="K315" s="10">
        <v>27</v>
      </c>
      <c r="L315" s="86">
        <f>'виды работ  (2)'!C314</f>
        <v>2703795</v>
      </c>
      <c r="M315" s="86">
        <v>0</v>
      </c>
      <c r="N315" s="86">
        <v>0</v>
      </c>
      <c r="O315" s="86">
        <v>0</v>
      </c>
      <c r="P315" s="86">
        <f t="shared" si="65"/>
        <v>2703795</v>
      </c>
      <c r="Q315" s="86">
        <f t="shared" si="66"/>
        <v>7230.945121951219</v>
      </c>
      <c r="R315" s="97">
        <v>42000</v>
      </c>
      <c r="S315" s="55" t="s">
        <v>843</v>
      </c>
      <c r="T315" s="92" t="s">
        <v>773</v>
      </c>
      <c r="X315" s="190"/>
    </row>
    <row r="316" spans="1:24" s="200" customFormat="1" ht="15">
      <c r="A316" s="10">
        <f t="shared" si="64"/>
        <v>237</v>
      </c>
      <c r="B316" s="204" t="s">
        <v>786</v>
      </c>
      <c r="C316" s="72">
        <v>1951</v>
      </c>
      <c r="D316" s="97"/>
      <c r="E316" s="92" t="s">
        <v>94</v>
      </c>
      <c r="F316" s="72">
        <v>2</v>
      </c>
      <c r="G316" s="10">
        <v>1</v>
      </c>
      <c r="H316" s="97">
        <v>365.49</v>
      </c>
      <c r="I316" s="97">
        <v>365.49</v>
      </c>
      <c r="J316" s="86">
        <v>277.7</v>
      </c>
      <c r="K316" s="10">
        <v>20</v>
      </c>
      <c r="L316" s="86">
        <f>'виды работ  (2)'!C315</f>
        <v>955438</v>
      </c>
      <c r="M316" s="86">
        <v>0</v>
      </c>
      <c r="N316" s="86">
        <v>0</v>
      </c>
      <c r="O316" s="86">
        <v>0</v>
      </c>
      <c r="P316" s="86">
        <f t="shared" si="65"/>
        <v>955438</v>
      </c>
      <c r="Q316" s="86">
        <f t="shared" si="66"/>
        <v>2614.128977537005</v>
      </c>
      <c r="R316" s="97">
        <v>42000</v>
      </c>
      <c r="S316" s="55" t="s">
        <v>843</v>
      </c>
      <c r="T316" s="92" t="s">
        <v>773</v>
      </c>
      <c r="X316" s="190"/>
    </row>
    <row r="317" spans="1:24" s="200" customFormat="1" ht="15">
      <c r="A317" s="10">
        <f t="shared" si="64"/>
        <v>238</v>
      </c>
      <c r="B317" s="204" t="s">
        <v>787</v>
      </c>
      <c r="C317" s="72">
        <v>1951</v>
      </c>
      <c r="D317" s="97"/>
      <c r="E317" s="92" t="s">
        <v>94</v>
      </c>
      <c r="F317" s="72">
        <v>2</v>
      </c>
      <c r="G317" s="10">
        <v>1</v>
      </c>
      <c r="H317" s="97">
        <v>362.4</v>
      </c>
      <c r="I317" s="97">
        <v>362.4</v>
      </c>
      <c r="J317" s="86">
        <v>327.51</v>
      </c>
      <c r="K317" s="10">
        <v>16</v>
      </c>
      <c r="L317" s="86">
        <f>'виды работ  (2)'!C316</f>
        <v>967530</v>
      </c>
      <c r="M317" s="86">
        <v>0</v>
      </c>
      <c r="N317" s="86">
        <v>0</v>
      </c>
      <c r="O317" s="86">
        <v>0</v>
      </c>
      <c r="P317" s="86">
        <f t="shared" si="65"/>
        <v>967530</v>
      </c>
      <c r="Q317" s="86">
        <f t="shared" si="66"/>
        <v>2669.784768211921</v>
      </c>
      <c r="R317" s="97">
        <v>42000</v>
      </c>
      <c r="S317" s="55" t="s">
        <v>843</v>
      </c>
      <c r="T317" s="92" t="s">
        <v>773</v>
      </c>
      <c r="X317" s="190"/>
    </row>
    <row r="318" spans="1:24" s="43" customFormat="1" ht="15">
      <c r="A318" s="10">
        <f t="shared" si="64"/>
        <v>239</v>
      </c>
      <c r="B318" s="88" t="s">
        <v>740</v>
      </c>
      <c r="C318" s="92">
        <v>1965</v>
      </c>
      <c r="D318" s="70"/>
      <c r="E318" s="92" t="s">
        <v>94</v>
      </c>
      <c r="F318" s="92">
        <v>4</v>
      </c>
      <c r="G318" s="92">
        <v>3</v>
      </c>
      <c r="H318" s="86">
        <v>2026.53</v>
      </c>
      <c r="I318" s="86">
        <v>1634.13</v>
      </c>
      <c r="J318" s="86">
        <v>1366.2</v>
      </c>
      <c r="K318" s="10">
        <v>107</v>
      </c>
      <c r="L318" s="86">
        <f>'виды работ  (2)'!C317</f>
        <v>8653155</v>
      </c>
      <c r="M318" s="86">
        <v>0</v>
      </c>
      <c r="N318" s="86">
        <v>0</v>
      </c>
      <c r="O318" s="86">
        <v>0</v>
      </c>
      <c r="P318" s="86">
        <f t="shared" si="65"/>
        <v>8653155</v>
      </c>
      <c r="Q318" s="86">
        <f t="shared" si="66"/>
        <v>4269.93678850054</v>
      </c>
      <c r="R318" s="97">
        <v>42000</v>
      </c>
      <c r="S318" s="55" t="s">
        <v>843</v>
      </c>
      <c r="T318" s="92" t="s">
        <v>773</v>
      </c>
      <c r="X318" s="190"/>
    </row>
    <row r="319" spans="1:24" s="43" customFormat="1" ht="15">
      <c r="A319" s="10">
        <f t="shared" si="64"/>
        <v>240</v>
      </c>
      <c r="B319" s="59" t="s">
        <v>741</v>
      </c>
      <c r="C319" s="92">
        <v>1917</v>
      </c>
      <c r="D319" s="70"/>
      <c r="E319" s="92" t="s">
        <v>465</v>
      </c>
      <c r="F319" s="92">
        <v>2</v>
      </c>
      <c r="G319" s="92">
        <v>2</v>
      </c>
      <c r="H319" s="86">
        <v>424.09</v>
      </c>
      <c r="I319" s="86">
        <v>292.97</v>
      </c>
      <c r="J319" s="86">
        <v>225</v>
      </c>
      <c r="K319" s="10">
        <v>34</v>
      </c>
      <c r="L319" s="86">
        <f>'виды работ  (2)'!C318</f>
        <v>4319396</v>
      </c>
      <c r="M319" s="86">
        <v>0</v>
      </c>
      <c r="N319" s="86">
        <v>0</v>
      </c>
      <c r="O319" s="86">
        <v>0</v>
      </c>
      <c r="P319" s="86">
        <f t="shared" si="65"/>
        <v>4319396</v>
      </c>
      <c r="Q319" s="86">
        <f t="shared" si="66"/>
        <v>10185.092786908439</v>
      </c>
      <c r="R319" s="97">
        <v>42000</v>
      </c>
      <c r="S319" s="55" t="s">
        <v>843</v>
      </c>
      <c r="T319" s="92" t="s">
        <v>773</v>
      </c>
      <c r="X319" s="190"/>
    </row>
    <row r="320" spans="1:24" s="200" customFormat="1" ht="15">
      <c r="A320" s="10">
        <f t="shared" si="64"/>
        <v>241</v>
      </c>
      <c r="B320" s="59" t="s">
        <v>270</v>
      </c>
      <c r="C320" s="77">
        <v>1917</v>
      </c>
      <c r="D320" s="77">
        <v>1964</v>
      </c>
      <c r="E320" s="92" t="s">
        <v>465</v>
      </c>
      <c r="F320" s="77">
        <v>2</v>
      </c>
      <c r="G320" s="77">
        <v>2</v>
      </c>
      <c r="H320" s="71">
        <v>415.34</v>
      </c>
      <c r="I320" s="71">
        <v>415.34</v>
      </c>
      <c r="J320" s="71">
        <v>203.61</v>
      </c>
      <c r="K320" s="197">
        <v>19</v>
      </c>
      <c r="L320" s="86">
        <f>'виды работ  (2)'!C319</f>
        <v>3579830</v>
      </c>
      <c r="M320" s="86">
        <v>0</v>
      </c>
      <c r="N320" s="86">
        <v>0</v>
      </c>
      <c r="O320" s="86">
        <v>0</v>
      </c>
      <c r="P320" s="86">
        <f t="shared" si="65"/>
        <v>3579830</v>
      </c>
      <c r="Q320" s="86">
        <f t="shared" si="66"/>
        <v>8619.035007463764</v>
      </c>
      <c r="R320" s="97">
        <v>42000</v>
      </c>
      <c r="S320" s="55" t="s">
        <v>843</v>
      </c>
      <c r="T320" s="92" t="s">
        <v>773</v>
      </c>
      <c r="X320" s="190"/>
    </row>
    <row r="321" spans="1:24" s="200" customFormat="1" ht="15">
      <c r="A321" s="10">
        <f t="shared" si="64"/>
        <v>242</v>
      </c>
      <c r="B321" s="59" t="s">
        <v>261</v>
      </c>
      <c r="C321" s="77">
        <v>1984</v>
      </c>
      <c r="D321" s="77"/>
      <c r="E321" s="92" t="s">
        <v>94</v>
      </c>
      <c r="F321" s="77">
        <v>5</v>
      </c>
      <c r="G321" s="77">
        <v>1</v>
      </c>
      <c r="H321" s="71">
        <v>2368.8</v>
      </c>
      <c r="I321" s="71">
        <v>2368.8</v>
      </c>
      <c r="J321" s="71">
        <v>1401.27</v>
      </c>
      <c r="K321" s="197">
        <v>138</v>
      </c>
      <c r="L321" s="86">
        <f>'виды работ  (2)'!C320</f>
        <v>713434</v>
      </c>
      <c r="M321" s="86">
        <v>0</v>
      </c>
      <c r="N321" s="86">
        <v>0</v>
      </c>
      <c r="O321" s="86">
        <v>0</v>
      </c>
      <c r="P321" s="86">
        <f t="shared" si="65"/>
        <v>713434</v>
      </c>
      <c r="Q321" s="86">
        <f t="shared" si="66"/>
        <v>301.17950016886186</v>
      </c>
      <c r="R321" s="97">
        <v>42000</v>
      </c>
      <c r="S321" s="55" t="s">
        <v>843</v>
      </c>
      <c r="T321" s="92" t="s">
        <v>773</v>
      </c>
      <c r="X321" s="190"/>
    </row>
    <row r="322" spans="1:24" s="200" customFormat="1" ht="15">
      <c r="A322" s="10">
        <f t="shared" si="64"/>
        <v>243</v>
      </c>
      <c r="B322" s="59" t="s">
        <v>271</v>
      </c>
      <c r="C322" s="77">
        <v>1970</v>
      </c>
      <c r="D322" s="77"/>
      <c r="E322" s="92" t="s">
        <v>94</v>
      </c>
      <c r="F322" s="77">
        <v>5</v>
      </c>
      <c r="G322" s="77">
        <v>4</v>
      </c>
      <c r="H322" s="71">
        <v>3437.19</v>
      </c>
      <c r="I322" s="71">
        <v>3437.19</v>
      </c>
      <c r="J322" s="71">
        <v>3294.29</v>
      </c>
      <c r="K322" s="197">
        <v>162</v>
      </c>
      <c r="L322" s="86">
        <f>'виды работ  (2)'!C321</f>
        <v>2549585</v>
      </c>
      <c r="M322" s="86">
        <v>0</v>
      </c>
      <c r="N322" s="86">
        <v>0</v>
      </c>
      <c r="O322" s="86">
        <v>0</v>
      </c>
      <c r="P322" s="86">
        <f t="shared" si="65"/>
        <v>2549585</v>
      </c>
      <c r="Q322" s="86">
        <f t="shared" si="66"/>
        <v>741.7643482030379</v>
      </c>
      <c r="R322" s="97">
        <v>42000</v>
      </c>
      <c r="S322" s="55" t="s">
        <v>843</v>
      </c>
      <c r="T322" s="92" t="s">
        <v>773</v>
      </c>
      <c r="X322" s="190"/>
    </row>
    <row r="323" spans="1:24" s="200" customFormat="1" ht="15">
      <c r="A323" s="10">
        <f t="shared" si="64"/>
        <v>244</v>
      </c>
      <c r="B323" s="59" t="s">
        <v>272</v>
      </c>
      <c r="C323" s="77">
        <v>1971</v>
      </c>
      <c r="D323" s="77"/>
      <c r="E323" s="92" t="s">
        <v>94</v>
      </c>
      <c r="F323" s="77">
        <v>5</v>
      </c>
      <c r="G323" s="77">
        <v>4</v>
      </c>
      <c r="H323" s="71">
        <v>3467.5</v>
      </c>
      <c r="I323" s="71">
        <v>3467.5</v>
      </c>
      <c r="J323" s="71">
        <v>3371.7</v>
      </c>
      <c r="K323" s="197">
        <v>164</v>
      </c>
      <c r="L323" s="86">
        <f>'виды работ  (2)'!C322</f>
        <v>2844745</v>
      </c>
      <c r="M323" s="86">
        <v>0</v>
      </c>
      <c r="N323" s="86">
        <v>0</v>
      </c>
      <c r="O323" s="86">
        <v>0</v>
      </c>
      <c r="P323" s="86">
        <f t="shared" si="65"/>
        <v>2844745</v>
      </c>
      <c r="Q323" s="86">
        <f t="shared" si="66"/>
        <v>820.4023071377072</v>
      </c>
      <c r="R323" s="97">
        <v>42000</v>
      </c>
      <c r="S323" s="55" t="s">
        <v>843</v>
      </c>
      <c r="T323" s="92" t="s">
        <v>773</v>
      </c>
      <c r="X323" s="190"/>
    </row>
    <row r="324" spans="1:24" s="200" customFormat="1" ht="15">
      <c r="A324" s="10">
        <f t="shared" si="64"/>
        <v>245</v>
      </c>
      <c r="B324" s="59" t="s">
        <v>262</v>
      </c>
      <c r="C324" s="77">
        <v>1966</v>
      </c>
      <c r="D324" s="77"/>
      <c r="E324" s="92" t="s">
        <v>411</v>
      </c>
      <c r="F324" s="77">
        <v>5</v>
      </c>
      <c r="G324" s="77">
        <v>4</v>
      </c>
      <c r="H324" s="71">
        <v>3532.7</v>
      </c>
      <c r="I324" s="71">
        <v>3532.7</v>
      </c>
      <c r="J324" s="71">
        <v>3315.7</v>
      </c>
      <c r="K324" s="197">
        <v>160</v>
      </c>
      <c r="L324" s="86">
        <f>'виды работ  (2)'!C323</f>
        <v>2398060</v>
      </c>
      <c r="M324" s="86">
        <v>0</v>
      </c>
      <c r="N324" s="86">
        <v>0</v>
      </c>
      <c r="O324" s="86">
        <v>0</v>
      </c>
      <c r="P324" s="86">
        <f t="shared" si="65"/>
        <v>2398060</v>
      </c>
      <c r="Q324" s="86">
        <f t="shared" si="66"/>
        <v>678.8179013219351</v>
      </c>
      <c r="R324" s="97">
        <v>42000</v>
      </c>
      <c r="S324" s="55" t="s">
        <v>843</v>
      </c>
      <c r="T324" s="92" t="s">
        <v>773</v>
      </c>
      <c r="X324" s="190"/>
    </row>
    <row r="325" spans="1:24" s="200" customFormat="1" ht="15">
      <c r="A325" s="10">
        <f t="shared" si="64"/>
        <v>246</v>
      </c>
      <c r="B325" s="59" t="s">
        <v>263</v>
      </c>
      <c r="C325" s="77">
        <v>1967</v>
      </c>
      <c r="D325" s="77"/>
      <c r="E325" s="92" t="s">
        <v>411</v>
      </c>
      <c r="F325" s="77">
        <v>5</v>
      </c>
      <c r="G325" s="77">
        <v>6</v>
      </c>
      <c r="H325" s="71">
        <v>5177.8</v>
      </c>
      <c r="I325" s="71">
        <v>5177.8</v>
      </c>
      <c r="J325" s="71">
        <v>4571.1</v>
      </c>
      <c r="K325" s="197">
        <v>224</v>
      </c>
      <c r="L325" s="86">
        <f>'виды работ  (2)'!C324</f>
        <v>3581755</v>
      </c>
      <c r="M325" s="86">
        <v>0</v>
      </c>
      <c r="N325" s="86">
        <v>0</v>
      </c>
      <c r="O325" s="86">
        <v>0</v>
      </c>
      <c r="P325" s="86">
        <f t="shared" si="65"/>
        <v>3581755</v>
      </c>
      <c r="Q325" s="86">
        <f t="shared" si="66"/>
        <v>691.752288616787</v>
      </c>
      <c r="R325" s="97">
        <v>42000</v>
      </c>
      <c r="S325" s="55" t="s">
        <v>843</v>
      </c>
      <c r="T325" s="92" t="s">
        <v>773</v>
      </c>
      <c r="X325" s="190"/>
    </row>
    <row r="326" spans="1:24" s="43" customFormat="1" ht="15">
      <c r="A326" s="10">
        <f t="shared" si="64"/>
        <v>247</v>
      </c>
      <c r="B326" s="59" t="s">
        <v>742</v>
      </c>
      <c r="C326" s="39">
        <v>1956</v>
      </c>
      <c r="D326" s="66"/>
      <c r="E326" s="92" t="s">
        <v>465</v>
      </c>
      <c r="F326" s="10">
        <v>2</v>
      </c>
      <c r="G326" s="10">
        <v>2</v>
      </c>
      <c r="H326" s="86">
        <v>480.5</v>
      </c>
      <c r="I326" s="86">
        <v>480.5</v>
      </c>
      <c r="J326" s="86">
        <v>426.3</v>
      </c>
      <c r="K326" s="10">
        <v>23</v>
      </c>
      <c r="L326" s="86">
        <f>'виды работ  (2)'!C325</f>
        <v>8275991</v>
      </c>
      <c r="M326" s="86">
        <v>0</v>
      </c>
      <c r="N326" s="86">
        <v>0</v>
      </c>
      <c r="O326" s="86">
        <v>0</v>
      </c>
      <c r="P326" s="86">
        <f t="shared" si="65"/>
        <v>8275991</v>
      </c>
      <c r="Q326" s="86">
        <f t="shared" si="66"/>
        <v>17223.706555671175</v>
      </c>
      <c r="R326" s="97">
        <v>42000</v>
      </c>
      <c r="S326" s="55" t="s">
        <v>843</v>
      </c>
      <c r="T326" s="92" t="s">
        <v>773</v>
      </c>
      <c r="X326" s="190"/>
    </row>
    <row r="327" spans="1:24" s="200" customFormat="1" ht="15">
      <c r="A327" s="10">
        <f t="shared" si="64"/>
        <v>248</v>
      </c>
      <c r="B327" s="59" t="s">
        <v>273</v>
      </c>
      <c r="C327" s="77">
        <v>1970</v>
      </c>
      <c r="D327" s="77"/>
      <c r="E327" s="92" t="s">
        <v>94</v>
      </c>
      <c r="F327" s="77">
        <v>5</v>
      </c>
      <c r="G327" s="77">
        <v>8</v>
      </c>
      <c r="H327" s="71">
        <v>6999.6</v>
      </c>
      <c r="I327" s="71">
        <v>6999.6</v>
      </c>
      <c r="J327" s="71">
        <v>5801.7</v>
      </c>
      <c r="K327" s="197">
        <v>234</v>
      </c>
      <c r="L327" s="86">
        <f>'виды работ  (2)'!C326</f>
        <v>2855824</v>
      </c>
      <c r="M327" s="86">
        <v>0</v>
      </c>
      <c r="N327" s="86">
        <v>0</v>
      </c>
      <c r="O327" s="86">
        <v>0</v>
      </c>
      <c r="P327" s="86">
        <f t="shared" si="65"/>
        <v>2855824</v>
      </c>
      <c r="Q327" s="86">
        <f t="shared" si="66"/>
        <v>407.99817132407566</v>
      </c>
      <c r="R327" s="97">
        <v>42000</v>
      </c>
      <c r="S327" s="55" t="s">
        <v>843</v>
      </c>
      <c r="T327" s="92" t="s">
        <v>773</v>
      </c>
      <c r="X327" s="190"/>
    </row>
    <row r="328" spans="1:24" s="200" customFormat="1" ht="15">
      <c r="A328" s="10">
        <f t="shared" si="64"/>
        <v>249</v>
      </c>
      <c r="B328" s="59" t="s">
        <v>274</v>
      </c>
      <c r="C328" s="77">
        <v>1953</v>
      </c>
      <c r="D328" s="77"/>
      <c r="E328" s="92" t="s">
        <v>94</v>
      </c>
      <c r="F328" s="77">
        <v>3</v>
      </c>
      <c r="G328" s="77">
        <v>4</v>
      </c>
      <c r="H328" s="71">
        <v>1513.5</v>
      </c>
      <c r="I328" s="71">
        <v>1513.5</v>
      </c>
      <c r="J328" s="71">
        <v>1269.7</v>
      </c>
      <c r="K328" s="197">
        <v>67</v>
      </c>
      <c r="L328" s="86">
        <f>'виды работ  (2)'!C327</f>
        <v>3352189</v>
      </c>
      <c r="M328" s="86">
        <v>0</v>
      </c>
      <c r="N328" s="86">
        <v>0</v>
      </c>
      <c r="O328" s="86">
        <v>0</v>
      </c>
      <c r="P328" s="86">
        <f t="shared" si="65"/>
        <v>3352189</v>
      </c>
      <c r="Q328" s="86">
        <f t="shared" si="66"/>
        <v>2214.8589362405023</v>
      </c>
      <c r="R328" s="97">
        <v>42000</v>
      </c>
      <c r="S328" s="55" t="s">
        <v>843</v>
      </c>
      <c r="T328" s="92" t="s">
        <v>773</v>
      </c>
      <c r="X328" s="190"/>
    </row>
    <row r="329" spans="1:24" s="200" customFormat="1" ht="15">
      <c r="A329" s="10">
        <f t="shared" si="64"/>
        <v>250</v>
      </c>
      <c r="B329" s="59" t="s">
        <v>265</v>
      </c>
      <c r="C329" s="77">
        <v>1957</v>
      </c>
      <c r="D329" s="77"/>
      <c r="E329" s="92" t="s">
        <v>94</v>
      </c>
      <c r="F329" s="77">
        <v>2</v>
      </c>
      <c r="G329" s="77">
        <v>2</v>
      </c>
      <c r="H329" s="71">
        <v>564.4</v>
      </c>
      <c r="I329" s="71">
        <v>564.4</v>
      </c>
      <c r="J329" s="71">
        <v>376.9</v>
      </c>
      <c r="K329" s="197">
        <v>31</v>
      </c>
      <c r="L329" s="86">
        <f>'виды работ  (2)'!C328</f>
        <v>1671755</v>
      </c>
      <c r="M329" s="86">
        <v>0</v>
      </c>
      <c r="N329" s="86">
        <v>0</v>
      </c>
      <c r="O329" s="86">
        <v>0</v>
      </c>
      <c r="P329" s="86">
        <f t="shared" si="65"/>
        <v>1671755</v>
      </c>
      <c r="Q329" s="86">
        <f t="shared" si="66"/>
        <v>2962.0038979447204</v>
      </c>
      <c r="R329" s="97">
        <v>42000</v>
      </c>
      <c r="S329" s="55" t="s">
        <v>843</v>
      </c>
      <c r="T329" s="92" t="s">
        <v>773</v>
      </c>
      <c r="X329" s="190"/>
    </row>
    <row r="330" spans="1:24" s="200" customFormat="1" ht="15">
      <c r="A330" s="10">
        <f t="shared" si="64"/>
        <v>251</v>
      </c>
      <c r="B330" s="59" t="s">
        <v>275</v>
      </c>
      <c r="C330" s="77">
        <v>1962</v>
      </c>
      <c r="D330" s="77"/>
      <c r="E330" s="92" t="s">
        <v>94</v>
      </c>
      <c r="F330" s="77">
        <v>3</v>
      </c>
      <c r="G330" s="77">
        <v>2</v>
      </c>
      <c r="H330" s="71">
        <v>958.4</v>
      </c>
      <c r="I330" s="71">
        <v>958.4</v>
      </c>
      <c r="J330" s="71">
        <v>871.77</v>
      </c>
      <c r="K330" s="197">
        <v>55</v>
      </c>
      <c r="L330" s="86">
        <f>'виды работ  (2)'!C329</f>
        <v>1164775</v>
      </c>
      <c r="M330" s="86">
        <v>0</v>
      </c>
      <c r="N330" s="86">
        <v>0</v>
      </c>
      <c r="O330" s="86">
        <v>0</v>
      </c>
      <c r="P330" s="86">
        <f t="shared" si="65"/>
        <v>1164775</v>
      </c>
      <c r="Q330" s="86">
        <f t="shared" si="66"/>
        <v>1215.3328464106844</v>
      </c>
      <c r="R330" s="97">
        <v>42000</v>
      </c>
      <c r="S330" s="55" t="s">
        <v>843</v>
      </c>
      <c r="T330" s="92" t="s">
        <v>773</v>
      </c>
      <c r="X330" s="190"/>
    </row>
    <row r="331" spans="1:24" s="200" customFormat="1" ht="15">
      <c r="A331" s="10">
        <f t="shared" si="64"/>
        <v>252</v>
      </c>
      <c r="B331" s="59" t="s">
        <v>264</v>
      </c>
      <c r="C331" s="77">
        <v>1964</v>
      </c>
      <c r="D331" s="77"/>
      <c r="E331" s="92" t="s">
        <v>94</v>
      </c>
      <c r="F331" s="77">
        <v>4</v>
      </c>
      <c r="G331" s="77">
        <v>4</v>
      </c>
      <c r="H331" s="71">
        <v>2531.9</v>
      </c>
      <c r="I331" s="71">
        <v>2531.9</v>
      </c>
      <c r="J331" s="71">
        <v>2181.9</v>
      </c>
      <c r="K331" s="197">
        <v>129</v>
      </c>
      <c r="L331" s="86">
        <f>'виды работ  (2)'!C330</f>
        <v>153104</v>
      </c>
      <c r="M331" s="86">
        <v>0</v>
      </c>
      <c r="N331" s="86">
        <v>0</v>
      </c>
      <c r="O331" s="86">
        <v>0</v>
      </c>
      <c r="P331" s="86">
        <f t="shared" si="65"/>
        <v>153104</v>
      </c>
      <c r="Q331" s="86">
        <f t="shared" si="66"/>
        <v>60.470002764722146</v>
      </c>
      <c r="R331" s="97">
        <v>42000</v>
      </c>
      <c r="S331" s="55" t="s">
        <v>843</v>
      </c>
      <c r="T331" s="92" t="s">
        <v>773</v>
      </c>
      <c r="X331" s="190"/>
    </row>
    <row r="332" spans="1:24" s="200" customFormat="1" ht="15">
      <c r="A332" s="10">
        <f t="shared" si="64"/>
        <v>253</v>
      </c>
      <c r="B332" s="59" t="s">
        <v>276</v>
      </c>
      <c r="C332" s="77">
        <v>1917</v>
      </c>
      <c r="D332" s="77">
        <v>1964</v>
      </c>
      <c r="E332" s="92" t="s">
        <v>94</v>
      </c>
      <c r="F332" s="77">
        <v>2</v>
      </c>
      <c r="G332" s="77">
        <v>1</v>
      </c>
      <c r="H332" s="71">
        <v>366.6</v>
      </c>
      <c r="I332" s="71">
        <v>366.6</v>
      </c>
      <c r="J332" s="71">
        <v>366.6</v>
      </c>
      <c r="K332" s="197">
        <v>12</v>
      </c>
      <c r="L332" s="86">
        <f>'виды работ  (2)'!C331</f>
        <v>867189</v>
      </c>
      <c r="M332" s="86">
        <v>0</v>
      </c>
      <c r="N332" s="86">
        <v>0</v>
      </c>
      <c r="O332" s="86">
        <v>0</v>
      </c>
      <c r="P332" s="86">
        <f t="shared" si="65"/>
        <v>867189</v>
      </c>
      <c r="Q332" s="86">
        <f t="shared" si="66"/>
        <v>2365.490998363339</v>
      </c>
      <c r="R332" s="97">
        <v>42000</v>
      </c>
      <c r="S332" s="55" t="s">
        <v>843</v>
      </c>
      <c r="T332" s="92" t="s">
        <v>773</v>
      </c>
      <c r="X332" s="190"/>
    </row>
    <row r="333" spans="1:24" s="200" customFormat="1" ht="15">
      <c r="A333" s="10">
        <f t="shared" si="64"/>
        <v>254</v>
      </c>
      <c r="B333" s="59" t="s">
        <v>267</v>
      </c>
      <c r="C333" s="77">
        <v>1958</v>
      </c>
      <c r="D333" s="77"/>
      <c r="E333" s="92" t="s">
        <v>94</v>
      </c>
      <c r="F333" s="77">
        <v>3</v>
      </c>
      <c r="G333" s="77">
        <v>2</v>
      </c>
      <c r="H333" s="71">
        <v>804</v>
      </c>
      <c r="I333" s="71">
        <v>804</v>
      </c>
      <c r="J333" s="71">
        <v>563.8</v>
      </c>
      <c r="K333" s="197">
        <v>31</v>
      </c>
      <c r="L333" s="86">
        <f>'виды работ  (2)'!C332</f>
        <v>1518763</v>
      </c>
      <c r="M333" s="86">
        <v>0</v>
      </c>
      <c r="N333" s="86">
        <v>0</v>
      </c>
      <c r="O333" s="86">
        <v>0</v>
      </c>
      <c r="P333" s="86">
        <f t="shared" si="65"/>
        <v>1518763</v>
      </c>
      <c r="Q333" s="86">
        <f t="shared" si="66"/>
        <v>1889.0087064676618</v>
      </c>
      <c r="R333" s="97">
        <v>42000</v>
      </c>
      <c r="S333" s="55" t="s">
        <v>843</v>
      </c>
      <c r="T333" s="92" t="s">
        <v>773</v>
      </c>
      <c r="X333" s="190"/>
    </row>
    <row r="334" spans="1:24" s="200" customFormat="1" ht="15">
      <c r="A334" s="10">
        <f t="shared" si="64"/>
        <v>255</v>
      </c>
      <c r="B334" s="59" t="s">
        <v>277</v>
      </c>
      <c r="C334" s="77">
        <v>1917</v>
      </c>
      <c r="D334" s="77"/>
      <c r="E334" s="77" t="s">
        <v>820</v>
      </c>
      <c r="F334" s="77">
        <v>2</v>
      </c>
      <c r="G334" s="77">
        <v>5</v>
      </c>
      <c r="H334" s="71">
        <v>1211.3</v>
      </c>
      <c r="I334" s="71">
        <v>1211.3</v>
      </c>
      <c r="J334" s="71">
        <v>1056.72</v>
      </c>
      <c r="K334" s="197">
        <v>16</v>
      </c>
      <c r="L334" s="86">
        <f>'виды работ  (2)'!C333</f>
        <v>3011645</v>
      </c>
      <c r="M334" s="86">
        <v>0</v>
      </c>
      <c r="N334" s="86">
        <v>0</v>
      </c>
      <c r="O334" s="86">
        <v>0</v>
      </c>
      <c r="P334" s="86">
        <f t="shared" si="65"/>
        <v>3011645</v>
      </c>
      <c r="Q334" s="86">
        <f t="shared" si="66"/>
        <v>2486.2915875505655</v>
      </c>
      <c r="R334" s="97">
        <v>42000</v>
      </c>
      <c r="S334" s="55" t="s">
        <v>843</v>
      </c>
      <c r="T334" s="92" t="s">
        <v>773</v>
      </c>
      <c r="X334" s="190"/>
    </row>
    <row r="335" spans="1:24" s="43" customFormat="1" ht="15">
      <c r="A335" s="10">
        <f t="shared" si="64"/>
        <v>256</v>
      </c>
      <c r="B335" s="88" t="s">
        <v>743</v>
      </c>
      <c r="C335" s="92">
        <v>1963</v>
      </c>
      <c r="D335" s="70"/>
      <c r="E335" s="92" t="s">
        <v>94</v>
      </c>
      <c r="F335" s="92">
        <v>4</v>
      </c>
      <c r="G335" s="92">
        <v>3</v>
      </c>
      <c r="H335" s="71">
        <v>2064.46</v>
      </c>
      <c r="I335" s="86">
        <v>1197.39</v>
      </c>
      <c r="J335" s="86">
        <v>1084.13</v>
      </c>
      <c r="K335" s="10">
        <v>76</v>
      </c>
      <c r="L335" s="86">
        <f>'виды работ  (2)'!C334</f>
        <v>9483231</v>
      </c>
      <c r="M335" s="86">
        <v>0</v>
      </c>
      <c r="N335" s="86">
        <v>0</v>
      </c>
      <c r="O335" s="86">
        <v>0</v>
      </c>
      <c r="P335" s="86">
        <f t="shared" si="65"/>
        <v>9483231</v>
      </c>
      <c r="Q335" s="86">
        <f t="shared" si="66"/>
        <v>4593.564903170804</v>
      </c>
      <c r="R335" s="97">
        <v>42000</v>
      </c>
      <c r="S335" s="55" t="s">
        <v>843</v>
      </c>
      <c r="T335" s="92" t="s">
        <v>773</v>
      </c>
      <c r="X335" s="190"/>
    </row>
    <row r="336" spans="1:24" s="43" customFormat="1" ht="15">
      <c r="A336" s="10">
        <f t="shared" si="64"/>
        <v>257</v>
      </c>
      <c r="B336" s="59" t="s">
        <v>744</v>
      </c>
      <c r="C336" s="39">
        <v>1917</v>
      </c>
      <c r="D336" s="86"/>
      <c r="E336" s="92" t="s">
        <v>465</v>
      </c>
      <c r="F336" s="10">
        <v>2</v>
      </c>
      <c r="G336" s="10">
        <v>2</v>
      </c>
      <c r="H336" s="86">
        <v>386.46</v>
      </c>
      <c r="I336" s="86">
        <v>386.4</v>
      </c>
      <c r="J336" s="86">
        <v>266.9</v>
      </c>
      <c r="K336" s="10">
        <v>16</v>
      </c>
      <c r="L336" s="86">
        <f>'виды работ  (2)'!C335</f>
        <v>847198</v>
      </c>
      <c r="M336" s="86">
        <v>0</v>
      </c>
      <c r="N336" s="86">
        <v>0</v>
      </c>
      <c r="O336" s="86">
        <v>0</v>
      </c>
      <c r="P336" s="86">
        <f t="shared" si="65"/>
        <v>847198</v>
      </c>
      <c r="Q336" s="86">
        <f t="shared" si="66"/>
        <v>2192.2010039848888</v>
      </c>
      <c r="R336" s="97">
        <v>42000</v>
      </c>
      <c r="S336" s="55" t="s">
        <v>843</v>
      </c>
      <c r="T336" s="92" t="s">
        <v>773</v>
      </c>
      <c r="X336" s="190"/>
    </row>
    <row r="337" spans="1:24" s="43" customFormat="1" ht="15">
      <c r="A337" s="10">
        <f t="shared" si="64"/>
        <v>258</v>
      </c>
      <c r="B337" s="59" t="s">
        <v>745</v>
      </c>
      <c r="C337" s="39">
        <v>1917</v>
      </c>
      <c r="D337" s="66"/>
      <c r="E337" s="92" t="s">
        <v>465</v>
      </c>
      <c r="F337" s="10">
        <v>2</v>
      </c>
      <c r="G337" s="10">
        <v>1</v>
      </c>
      <c r="H337" s="62">
        <v>625.76</v>
      </c>
      <c r="I337" s="86">
        <v>625.4</v>
      </c>
      <c r="J337" s="86">
        <v>443.1</v>
      </c>
      <c r="K337" s="10">
        <v>12</v>
      </c>
      <c r="L337" s="86">
        <f>'виды работ  (2)'!C336</f>
        <v>719692</v>
      </c>
      <c r="M337" s="86">
        <v>0</v>
      </c>
      <c r="N337" s="86">
        <v>0</v>
      </c>
      <c r="O337" s="86">
        <v>0</v>
      </c>
      <c r="P337" s="86">
        <f t="shared" si="65"/>
        <v>719692</v>
      </c>
      <c r="Q337" s="86">
        <f t="shared" si="66"/>
        <v>1150.1086678598824</v>
      </c>
      <c r="R337" s="97">
        <v>42000</v>
      </c>
      <c r="S337" s="55" t="s">
        <v>843</v>
      </c>
      <c r="T337" s="92" t="s">
        <v>773</v>
      </c>
      <c r="X337" s="190"/>
    </row>
    <row r="338" spans="1:24" s="200" customFormat="1" ht="15">
      <c r="A338" s="10">
        <f t="shared" si="64"/>
        <v>259</v>
      </c>
      <c r="B338" s="59" t="s">
        <v>266</v>
      </c>
      <c r="C338" s="77">
        <v>1965</v>
      </c>
      <c r="D338" s="77">
        <v>1977</v>
      </c>
      <c r="E338" s="92" t="s">
        <v>94</v>
      </c>
      <c r="F338" s="77">
        <v>5</v>
      </c>
      <c r="G338" s="77">
        <v>4</v>
      </c>
      <c r="H338" s="71">
        <v>3589.47</v>
      </c>
      <c r="I338" s="71">
        <v>3589.47</v>
      </c>
      <c r="J338" s="71">
        <v>2361</v>
      </c>
      <c r="K338" s="197">
        <v>187</v>
      </c>
      <c r="L338" s="86">
        <f>'виды работ  (2)'!C337</f>
        <v>1608357</v>
      </c>
      <c r="M338" s="86">
        <v>0</v>
      </c>
      <c r="N338" s="86">
        <v>0</v>
      </c>
      <c r="O338" s="86">
        <v>0</v>
      </c>
      <c r="P338" s="86">
        <f t="shared" si="65"/>
        <v>1608357</v>
      </c>
      <c r="Q338" s="86">
        <f t="shared" si="66"/>
        <v>448.07645696997054</v>
      </c>
      <c r="R338" s="97">
        <v>42000</v>
      </c>
      <c r="S338" s="55" t="s">
        <v>843</v>
      </c>
      <c r="T338" s="92" t="s">
        <v>773</v>
      </c>
      <c r="X338" s="190"/>
    </row>
    <row r="339" spans="1:24" s="200" customFormat="1" ht="15">
      <c r="A339" s="117" t="s">
        <v>597</v>
      </c>
      <c r="B339" s="117"/>
      <c r="C339" s="86" t="s">
        <v>430</v>
      </c>
      <c r="D339" s="86" t="s">
        <v>430</v>
      </c>
      <c r="E339" s="86" t="s">
        <v>430</v>
      </c>
      <c r="F339" s="86" t="s">
        <v>430</v>
      </c>
      <c r="G339" s="86" t="s">
        <v>430</v>
      </c>
      <c r="H339" s="97">
        <f>SUM(H290:H338)</f>
        <v>65913.61</v>
      </c>
      <c r="I339" s="97">
        <f aca="true" t="shared" si="67" ref="I339:P339">SUM(I290:I338)</f>
        <v>61861.900000000016</v>
      </c>
      <c r="J339" s="97">
        <f t="shared" si="67"/>
        <v>51374.63</v>
      </c>
      <c r="K339" s="97">
        <f t="shared" si="67"/>
        <v>2790</v>
      </c>
      <c r="L339" s="97">
        <f t="shared" si="67"/>
        <v>140726989</v>
      </c>
      <c r="M339" s="97">
        <f t="shared" si="67"/>
        <v>0</v>
      </c>
      <c r="N339" s="97">
        <f t="shared" si="67"/>
        <v>0</v>
      </c>
      <c r="O339" s="97">
        <f t="shared" si="67"/>
        <v>0</v>
      </c>
      <c r="P339" s="97">
        <f t="shared" si="67"/>
        <v>140726989</v>
      </c>
      <c r="Q339" s="97">
        <f>L339/H339</f>
        <v>2135.0217200969573</v>
      </c>
      <c r="R339" s="56" t="s">
        <v>430</v>
      </c>
      <c r="S339" s="56" t="s">
        <v>430</v>
      </c>
      <c r="T339" s="56" t="s">
        <v>430</v>
      </c>
      <c r="U339" s="190"/>
      <c r="X339" s="190"/>
    </row>
    <row r="340" spans="1:24" s="200" customFormat="1" ht="15">
      <c r="A340" s="209" t="s">
        <v>746</v>
      </c>
      <c r="B340" s="209"/>
      <c r="C340" s="209"/>
      <c r="D340" s="209"/>
      <c r="E340" s="209"/>
      <c r="F340" s="178"/>
      <c r="G340" s="178"/>
      <c r="H340" s="178"/>
      <c r="I340" s="178"/>
      <c r="J340" s="178"/>
      <c r="K340" s="178"/>
      <c r="L340" s="178"/>
      <c r="M340" s="178"/>
      <c r="N340" s="178"/>
      <c r="O340" s="178"/>
      <c r="P340" s="178"/>
      <c r="Q340" s="178"/>
      <c r="R340" s="178"/>
      <c r="S340" s="178"/>
      <c r="T340" s="178"/>
      <c r="X340" s="190"/>
    </row>
    <row r="341" spans="1:24" s="200" customFormat="1" ht="15">
      <c r="A341" s="10">
        <f>A338+1</f>
        <v>260</v>
      </c>
      <c r="B341" s="59" t="s">
        <v>747</v>
      </c>
      <c r="C341" s="77">
        <v>1948</v>
      </c>
      <c r="D341" s="77"/>
      <c r="E341" s="77" t="s">
        <v>465</v>
      </c>
      <c r="F341" s="77">
        <v>2</v>
      </c>
      <c r="G341" s="77">
        <v>2</v>
      </c>
      <c r="H341" s="71">
        <v>832.5</v>
      </c>
      <c r="I341" s="71">
        <v>476.2</v>
      </c>
      <c r="J341" s="71">
        <v>354.1</v>
      </c>
      <c r="K341" s="197">
        <v>36</v>
      </c>
      <c r="L341" s="71">
        <f>'виды работ  (2)'!C340</f>
        <v>816426</v>
      </c>
      <c r="M341" s="86">
        <v>0</v>
      </c>
      <c r="N341" s="86">
        <v>0</v>
      </c>
      <c r="O341" s="86">
        <v>0</v>
      </c>
      <c r="P341" s="86">
        <f>L341</f>
        <v>816426</v>
      </c>
      <c r="Q341" s="86">
        <f>L341/H341</f>
        <v>980.6918918918919</v>
      </c>
      <c r="R341" s="97">
        <v>42000</v>
      </c>
      <c r="S341" s="55" t="s">
        <v>843</v>
      </c>
      <c r="T341" s="92" t="s">
        <v>773</v>
      </c>
      <c r="X341" s="190"/>
    </row>
    <row r="342" spans="1:24" s="200" customFormat="1" ht="15">
      <c r="A342" s="117" t="s">
        <v>597</v>
      </c>
      <c r="B342" s="117"/>
      <c r="C342" s="86" t="s">
        <v>430</v>
      </c>
      <c r="D342" s="86" t="s">
        <v>430</v>
      </c>
      <c r="E342" s="86" t="s">
        <v>430</v>
      </c>
      <c r="F342" s="86" t="s">
        <v>430</v>
      </c>
      <c r="G342" s="86" t="s">
        <v>430</v>
      </c>
      <c r="H342" s="71">
        <f>H341</f>
        <v>832.5</v>
      </c>
      <c r="I342" s="71">
        <f aca="true" t="shared" si="68" ref="I342:P342">I341</f>
        <v>476.2</v>
      </c>
      <c r="J342" s="71">
        <f t="shared" si="68"/>
        <v>354.1</v>
      </c>
      <c r="K342" s="197">
        <f t="shared" si="68"/>
        <v>36</v>
      </c>
      <c r="L342" s="71">
        <f t="shared" si="68"/>
        <v>816426</v>
      </c>
      <c r="M342" s="71">
        <f t="shared" si="68"/>
        <v>0</v>
      </c>
      <c r="N342" s="71">
        <f t="shared" si="68"/>
        <v>0</v>
      </c>
      <c r="O342" s="71">
        <f t="shared" si="68"/>
        <v>0</v>
      </c>
      <c r="P342" s="71">
        <f t="shared" si="68"/>
        <v>816426</v>
      </c>
      <c r="Q342" s="97">
        <f>L342/H342</f>
        <v>980.6918918918919</v>
      </c>
      <c r="R342" s="56" t="s">
        <v>430</v>
      </c>
      <c r="S342" s="56" t="s">
        <v>430</v>
      </c>
      <c r="T342" s="56" t="s">
        <v>430</v>
      </c>
      <c r="U342" s="190"/>
      <c r="X342" s="190"/>
    </row>
    <row r="343" spans="1:24" s="200" customFormat="1" ht="15">
      <c r="A343" s="140" t="s">
        <v>623</v>
      </c>
      <c r="B343" s="140"/>
      <c r="C343" s="140"/>
      <c r="D343" s="81" t="s">
        <v>430</v>
      </c>
      <c r="E343" s="81" t="s">
        <v>430</v>
      </c>
      <c r="F343" s="81" t="s">
        <v>430</v>
      </c>
      <c r="G343" s="81" t="s">
        <v>430</v>
      </c>
      <c r="H343" s="71">
        <f aca="true" t="shared" si="69" ref="H343:P343">H342+H288+H339</f>
        <v>69546.41</v>
      </c>
      <c r="I343" s="71">
        <f t="shared" si="69"/>
        <v>64900.80000000002</v>
      </c>
      <c r="J343" s="71">
        <f t="shared" si="69"/>
        <v>52431.43</v>
      </c>
      <c r="K343" s="197">
        <f t="shared" si="69"/>
        <v>2949</v>
      </c>
      <c r="L343" s="71">
        <f t="shared" si="69"/>
        <v>146446723</v>
      </c>
      <c r="M343" s="71">
        <f t="shared" si="69"/>
        <v>0</v>
      </c>
      <c r="N343" s="71">
        <f t="shared" si="69"/>
        <v>0</v>
      </c>
      <c r="O343" s="71">
        <f t="shared" si="69"/>
        <v>0</v>
      </c>
      <c r="P343" s="71">
        <f t="shared" si="69"/>
        <v>146446723</v>
      </c>
      <c r="Q343" s="97">
        <f>L343/H343</f>
        <v>2105.7409433499156</v>
      </c>
      <c r="R343" s="56" t="s">
        <v>430</v>
      </c>
      <c r="S343" s="56" t="s">
        <v>430</v>
      </c>
      <c r="T343" s="56" t="s">
        <v>430</v>
      </c>
      <c r="U343" s="190"/>
      <c r="X343" s="190"/>
    </row>
    <row r="344" spans="1:24" s="186" customFormat="1" ht="15">
      <c r="A344" s="188"/>
      <c r="B344" s="178" t="s">
        <v>624</v>
      </c>
      <c r="C344" s="178"/>
      <c r="D344" s="178"/>
      <c r="E344" s="178"/>
      <c r="F344" s="178"/>
      <c r="G344" s="178"/>
      <c r="H344" s="178"/>
      <c r="I344" s="178"/>
      <c r="J344" s="178"/>
      <c r="K344" s="178"/>
      <c r="L344" s="178"/>
      <c r="M344" s="178"/>
      <c r="N344" s="178"/>
      <c r="O344" s="178"/>
      <c r="P344" s="178"/>
      <c r="Q344" s="178"/>
      <c r="R344" s="178"/>
      <c r="S344" s="178"/>
      <c r="T344" s="178"/>
      <c r="X344" s="190"/>
    </row>
    <row r="345" spans="1:24" s="186" customFormat="1" ht="15">
      <c r="A345" s="105" t="s">
        <v>625</v>
      </c>
      <c r="B345" s="110"/>
      <c r="C345" s="110"/>
      <c r="D345" s="110"/>
      <c r="E345" s="106"/>
      <c r="F345" s="178"/>
      <c r="G345" s="178"/>
      <c r="H345" s="178"/>
      <c r="I345" s="178"/>
      <c r="J345" s="178"/>
      <c r="K345" s="178"/>
      <c r="L345" s="178"/>
      <c r="M345" s="178"/>
      <c r="N345" s="178"/>
      <c r="O345" s="178"/>
      <c r="P345" s="178"/>
      <c r="Q345" s="178"/>
      <c r="R345" s="178"/>
      <c r="S345" s="178"/>
      <c r="T345" s="178"/>
      <c r="X345" s="190"/>
    </row>
    <row r="346" spans="1:24" s="186" customFormat="1" ht="15">
      <c r="A346" s="96">
        <f>A341+1</f>
        <v>261</v>
      </c>
      <c r="B346" s="13" t="s">
        <v>278</v>
      </c>
      <c r="C346" s="92">
        <v>1975</v>
      </c>
      <c r="D346" s="95"/>
      <c r="E346" s="92" t="s">
        <v>94</v>
      </c>
      <c r="F346" s="95">
        <v>9</v>
      </c>
      <c r="G346" s="95">
        <v>1</v>
      </c>
      <c r="H346" s="97">
        <v>3520.71</v>
      </c>
      <c r="I346" s="97">
        <v>3520.71</v>
      </c>
      <c r="J346" s="97">
        <v>3520.71</v>
      </c>
      <c r="K346" s="96">
        <v>175</v>
      </c>
      <c r="L346" s="97">
        <f>'виды работ  (2)'!C345</f>
        <v>3022936</v>
      </c>
      <c r="M346" s="97">
        <v>0</v>
      </c>
      <c r="N346" s="97">
        <v>0</v>
      </c>
      <c r="O346" s="97">
        <v>0</v>
      </c>
      <c r="P346" s="97">
        <f aca="true" t="shared" si="70" ref="P346:P357">L346</f>
        <v>3022936</v>
      </c>
      <c r="Q346" s="97">
        <f aca="true" t="shared" si="71" ref="Q346:Q357">L346/H346</f>
        <v>858.6154497246293</v>
      </c>
      <c r="R346" s="97">
        <v>42000</v>
      </c>
      <c r="S346" s="55" t="s">
        <v>843</v>
      </c>
      <c r="T346" s="92" t="s">
        <v>773</v>
      </c>
      <c r="X346" s="190"/>
    </row>
    <row r="347" spans="1:24" s="186" customFormat="1" ht="15">
      <c r="A347" s="10">
        <f>A346+1</f>
        <v>262</v>
      </c>
      <c r="B347" s="13" t="s">
        <v>279</v>
      </c>
      <c r="C347" s="92">
        <v>1976</v>
      </c>
      <c r="D347" s="95"/>
      <c r="E347" s="92" t="s">
        <v>94</v>
      </c>
      <c r="F347" s="95">
        <v>9</v>
      </c>
      <c r="G347" s="95">
        <v>1</v>
      </c>
      <c r="H347" s="97">
        <v>3730.26</v>
      </c>
      <c r="I347" s="97">
        <v>3730.26</v>
      </c>
      <c r="J347" s="97">
        <v>3730.26</v>
      </c>
      <c r="K347" s="96">
        <v>168</v>
      </c>
      <c r="L347" s="97">
        <f>'виды работ  (2)'!C346</f>
        <v>3022936</v>
      </c>
      <c r="M347" s="97">
        <v>0</v>
      </c>
      <c r="N347" s="97">
        <v>0</v>
      </c>
      <c r="O347" s="97">
        <v>0</v>
      </c>
      <c r="P347" s="97">
        <f t="shared" si="70"/>
        <v>3022936</v>
      </c>
      <c r="Q347" s="97">
        <f t="shared" si="71"/>
        <v>810.3821181365373</v>
      </c>
      <c r="R347" s="97">
        <v>42000</v>
      </c>
      <c r="S347" s="55" t="s">
        <v>843</v>
      </c>
      <c r="T347" s="92" t="s">
        <v>773</v>
      </c>
      <c r="X347" s="190"/>
    </row>
    <row r="348" spans="1:24" s="186" customFormat="1" ht="15">
      <c r="A348" s="10">
        <f>A347+1</f>
        <v>263</v>
      </c>
      <c r="B348" s="13" t="s">
        <v>280</v>
      </c>
      <c r="C348" s="92">
        <v>1978</v>
      </c>
      <c r="D348" s="95"/>
      <c r="E348" s="92" t="s">
        <v>411</v>
      </c>
      <c r="F348" s="95">
        <v>9</v>
      </c>
      <c r="G348" s="95">
        <v>5</v>
      </c>
      <c r="H348" s="97">
        <v>9186.91</v>
      </c>
      <c r="I348" s="97">
        <v>9186.91</v>
      </c>
      <c r="J348" s="97">
        <v>9186.91</v>
      </c>
      <c r="K348" s="96">
        <v>401</v>
      </c>
      <c r="L348" s="97">
        <f>'виды работ  (2)'!C347</f>
        <v>15114678</v>
      </c>
      <c r="M348" s="97">
        <v>0</v>
      </c>
      <c r="N348" s="97">
        <v>0</v>
      </c>
      <c r="O348" s="97">
        <v>0</v>
      </c>
      <c r="P348" s="97">
        <f t="shared" si="70"/>
        <v>15114678</v>
      </c>
      <c r="Q348" s="97">
        <f t="shared" si="71"/>
        <v>1645.2406739589264</v>
      </c>
      <c r="R348" s="97">
        <v>42000</v>
      </c>
      <c r="S348" s="55" t="s">
        <v>843</v>
      </c>
      <c r="T348" s="92" t="s">
        <v>773</v>
      </c>
      <c r="X348" s="190"/>
    </row>
    <row r="349" spans="1:24" s="186" customFormat="1" ht="15">
      <c r="A349" s="10">
        <f aca="true" t="shared" si="72" ref="A349:A357">A348+1</f>
        <v>264</v>
      </c>
      <c r="B349" s="13" t="s">
        <v>285</v>
      </c>
      <c r="C349" s="92">
        <v>1985</v>
      </c>
      <c r="D349" s="95"/>
      <c r="E349" s="92" t="s">
        <v>411</v>
      </c>
      <c r="F349" s="95">
        <v>9</v>
      </c>
      <c r="G349" s="95">
        <v>7</v>
      </c>
      <c r="H349" s="97">
        <v>12871.8</v>
      </c>
      <c r="I349" s="97">
        <v>12871.8</v>
      </c>
      <c r="J349" s="97">
        <v>12871.8</v>
      </c>
      <c r="K349" s="96">
        <v>703</v>
      </c>
      <c r="L349" s="97">
        <f>'виды работ  (2)'!C348</f>
        <v>21160549</v>
      </c>
      <c r="M349" s="97">
        <v>0</v>
      </c>
      <c r="N349" s="97">
        <v>0</v>
      </c>
      <c r="O349" s="97">
        <v>0</v>
      </c>
      <c r="P349" s="97">
        <f t="shared" si="70"/>
        <v>21160549</v>
      </c>
      <c r="Q349" s="97">
        <f t="shared" si="71"/>
        <v>1643.9463789058252</v>
      </c>
      <c r="R349" s="97">
        <v>42000</v>
      </c>
      <c r="S349" s="55" t="s">
        <v>843</v>
      </c>
      <c r="T349" s="92" t="s">
        <v>773</v>
      </c>
      <c r="X349" s="190"/>
    </row>
    <row r="350" spans="1:24" s="186" customFormat="1" ht="15">
      <c r="A350" s="10">
        <f t="shared" si="72"/>
        <v>265</v>
      </c>
      <c r="B350" s="13" t="s">
        <v>286</v>
      </c>
      <c r="C350" s="92">
        <v>1984</v>
      </c>
      <c r="D350" s="95"/>
      <c r="E350" s="92" t="s">
        <v>411</v>
      </c>
      <c r="F350" s="95">
        <v>9</v>
      </c>
      <c r="G350" s="95">
        <v>6</v>
      </c>
      <c r="H350" s="97">
        <v>11332.8</v>
      </c>
      <c r="I350" s="97">
        <v>11332.8</v>
      </c>
      <c r="J350" s="97">
        <v>11332.8</v>
      </c>
      <c r="K350" s="96">
        <v>282</v>
      </c>
      <c r="L350" s="97">
        <f>'виды работ  (2)'!C349</f>
        <v>18137613</v>
      </c>
      <c r="M350" s="97">
        <v>0</v>
      </c>
      <c r="N350" s="97">
        <v>0</v>
      </c>
      <c r="O350" s="97">
        <v>0</v>
      </c>
      <c r="P350" s="97">
        <f t="shared" si="70"/>
        <v>18137613</v>
      </c>
      <c r="Q350" s="97">
        <f t="shared" si="71"/>
        <v>1600.4529330792038</v>
      </c>
      <c r="R350" s="97">
        <v>42000</v>
      </c>
      <c r="S350" s="55" t="s">
        <v>843</v>
      </c>
      <c r="T350" s="92" t="s">
        <v>773</v>
      </c>
      <c r="X350" s="190"/>
    </row>
    <row r="351" spans="1:24" s="186" customFormat="1" ht="15">
      <c r="A351" s="10">
        <f t="shared" si="72"/>
        <v>266</v>
      </c>
      <c r="B351" s="13" t="s">
        <v>289</v>
      </c>
      <c r="C351" s="92">
        <v>1948</v>
      </c>
      <c r="D351" s="95"/>
      <c r="E351" s="92" t="s">
        <v>94</v>
      </c>
      <c r="F351" s="95">
        <v>3</v>
      </c>
      <c r="G351" s="95">
        <v>3</v>
      </c>
      <c r="H351" s="97">
        <v>1136.9</v>
      </c>
      <c r="I351" s="97">
        <v>1136.9</v>
      </c>
      <c r="J351" s="97">
        <v>1136.9</v>
      </c>
      <c r="K351" s="96">
        <v>61</v>
      </c>
      <c r="L351" s="97">
        <f>'виды работ  (2)'!C350</f>
        <v>115318</v>
      </c>
      <c r="M351" s="97">
        <v>0</v>
      </c>
      <c r="N351" s="97">
        <v>0</v>
      </c>
      <c r="O351" s="97">
        <v>0</v>
      </c>
      <c r="P351" s="97">
        <f t="shared" si="70"/>
        <v>115318</v>
      </c>
      <c r="Q351" s="97">
        <f t="shared" si="71"/>
        <v>101.43196411293869</v>
      </c>
      <c r="R351" s="97">
        <v>42000</v>
      </c>
      <c r="S351" s="55" t="s">
        <v>843</v>
      </c>
      <c r="T351" s="92" t="s">
        <v>773</v>
      </c>
      <c r="X351" s="190"/>
    </row>
    <row r="352" spans="1:24" s="186" customFormat="1" ht="15">
      <c r="A352" s="10">
        <f t="shared" si="72"/>
        <v>267</v>
      </c>
      <c r="B352" s="13" t="s">
        <v>281</v>
      </c>
      <c r="C352" s="92">
        <v>1960</v>
      </c>
      <c r="D352" s="95"/>
      <c r="E352" s="92" t="s">
        <v>94</v>
      </c>
      <c r="F352" s="95">
        <v>2</v>
      </c>
      <c r="G352" s="95">
        <v>2</v>
      </c>
      <c r="H352" s="97">
        <v>554.4</v>
      </c>
      <c r="I352" s="97">
        <v>554.4</v>
      </c>
      <c r="J352" s="97">
        <v>554.4</v>
      </c>
      <c r="K352" s="96">
        <v>37</v>
      </c>
      <c r="L352" s="97">
        <f>'виды работ  (2)'!C351</f>
        <v>78270</v>
      </c>
      <c r="M352" s="97">
        <v>0</v>
      </c>
      <c r="N352" s="97">
        <v>0</v>
      </c>
      <c r="O352" s="97">
        <v>0</v>
      </c>
      <c r="P352" s="97">
        <f t="shared" si="70"/>
        <v>78270</v>
      </c>
      <c r="Q352" s="97">
        <f t="shared" si="71"/>
        <v>141.17965367965368</v>
      </c>
      <c r="R352" s="97">
        <v>42000</v>
      </c>
      <c r="S352" s="55" t="s">
        <v>843</v>
      </c>
      <c r="T352" s="92" t="s">
        <v>773</v>
      </c>
      <c r="X352" s="190"/>
    </row>
    <row r="353" spans="1:24" s="186" customFormat="1" ht="15">
      <c r="A353" s="10">
        <f t="shared" si="72"/>
        <v>268</v>
      </c>
      <c r="B353" s="13" t="s">
        <v>287</v>
      </c>
      <c r="C353" s="92">
        <v>1973</v>
      </c>
      <c r="D353" s="95"/>
      <c r="E353" s="92" t="s">
        <v>94</v>
      </c>
      <c r="F353" s="95">
        <v>3</v>
      </c>
      <c r="G353" s="95">
        <v>3</v>
      </c>
      <c r="H353" s="97">
        <v>1105</v>
      </c>
      <c r="I353" s="97">
        <v>1105</v>
      </c>
      <c r="J353" s="97">
        <v>1105</v>
      </c>
      <c r="K353" s="96">
        <v>55</v>
      </c>
      <c r="L353" s="97">
        <f>'виды работ  (2)'!C352</f>
        <v>114432</v>
      </c>
      <c r="M353" s="97">
        <v>0</v>
      </c>
      <c r="N353" s="97">
        <v>0</v>
      </c>
      <c r="O353" s="97">
        <v>0</v>
      </c>
      <c r="P353" s="97">
        <f t="shared" si="70"/>
        <v>114432</v>
      </c>
      <c r="Q353" s="97">
        <f t="shared" si="71"/>
        <v>103.55837104072398</v>
      </c>
      <c r="R353" s="97">
        <v>42000</v>
      </c>
      <c r="S353" s="55" t="s">
        <v>843</v>
      </c>
      <c r="T353" s="92" t="s">
        <v>773</v>
      </c>
      <c r="X353" s="190"/>
    </row>
    <row r="354" spans="1:24" s="186" customFormat="1" ht="15">
      <c r="A354" s="10">
        <f t="shared" si="72"/>
        <v>269</v>
      </c>
      <c r="B354" s="13" t="s">
        <v>284</v>
      </c>
      <c r="C354" s="92">
        <v>1963</v>
      </c>
      <c r="D354" s="95"/>
      <c r="E354" s="92" t="s">
        <v>94</v>
      </c>
      <c r="F354" s="95">
        <v>4</v>
      </c>
      <c r="G354" s="95">
        <v>3</v>
      </c>
      <c r="H354" s="97">
        <v>2018.03</v>
      </c>
      <c r="I354" s="97">
        <v>2018.03</v>
      </c>
      <c r="J354" s="97">
        <v>2018.03</v>
      </c>
      <c r="K354" s="96">
        <v>81</v>
      </c>
      <c r="L354" s="97">
        <f>'виды работ  (2)'!C353</f>
        <v>203470</v>
      </c>
      <c r="M354" s="97">
        <v>0</v>
      </c>
      <c r="N354" s="97">
        <v>0</v>
      </c>
      <c r="O354" s="97">
        <v>0</v>
      </c>
      <c r="P354" s="97">
        <f t="shared" si="70"/>
        <v>203470</v>
      </c>
      <c r="Q354" s="97">
        <f t="shared" si="71"/>
        <v>100.82605313102383</v>
      </c>
      <c r="R354" s="97">
        <v>42000</v>
      </c>
      <c r="S354" s="55" t="s">
        <v>843</v>
      </c>
      <c r="T354" s="92" t="s">
        <v>773</v>
      </c>
      <c r="X354" s="190"/>
    </row>
    <row r="355" spans="1:24" s="186" customFormat="1" ht="15">
      <c r="A355" s="10">
        <f t="shared" si="72"/>
        <v>270</v>
      </c>
      <c r="B355" s="13" t="s">
        <v>282</v>
      </c>
      <c r="C355" s="92">
        <v>1965</v>
      </c>
      <c r="D355" s="95"/>
      <c r="E355" s="92" t="s">
        <v>94</v>
      </c>
      <c r="F355" s="95">
        <v>5</v>
      </c>
      <c r="G355" s="95">
        <v>3</v>
      </c>
      <c r="H355" s="97">
        <v>2503.76</v>
      </c>
      <c r="I355" s="97">
        <v>2503.76</v>
      </c>
      <c r="J355" s="97">
        <v>2503.76</v>
      </c>
      <c r="K355" s="96">
        <v>110</v>
      </c>
      <c r="L355" s="97">
        <f>'виды работ  (2)'!C354</f>
        <v>253764</v>
      </c>
      <c r="M355" s="97">
        <v>0</v>
      </c>
      <c r="N355" s="97">
        <v>0</v>
      </c>
      <c r="O355" s="97">
        <v>0</v>
      </c>
      <c r="P355" s="97">
        <f t="shared" si="70"/>
        <v>253764</v>
      </c>
      <c r="Q355" s="97">
        <f t="shared" si="71"/>
        <v>101.35316484008051</v>
      </c>
      <c r="R355" s="97">
        <v>42000</v>
      </c>
      <c r="S355" s="55" t="s">
        <v>843</v>
      </c>
      <c r="T355" s="92" t="s">
        <v>773</v>
      </c>
      <c r="X355" s="190"/>
    </row>
    <row r="356" spans="1:24" s="186" customFormat="1" ht="15">
      <c r="A356" s="10">
        <f t="shared" si="72"/>
        <v>271</v>
      </c>
      <c r="B356" s="13" t="s">
        <v>283</v>
      </c>
      <c r="C356" s="92">
        <v>1966</v>
      </c>
      <c r="D356" s="95"/>
      <c r="E356" s="92" t="s">
        <v>94</v>
      </c>
      <c r="F356" s="95">
        <v>5</v>
      </c>
      <c r="G356" s="95">
        <v>4</v>
      </c>
      <c r="H356" s="97">
        <v>3115.36</v>
      </c>
      <c r="I356" s="97">
        <v>3115.36</v>
      </c>
      <c r="J356" s="97">
        <v>3115.36</v>
      </c>
      <c r="K356" s="96">
        <v>109</v>
      </c>
      <c r="L356" s="97">
        <f>'виды работ  (2)'!C355</f>
        <v>137066</v>
      </c>
      <c r="M356" s="97">
        <v>0</v>
      </c>
      <c r="N356" s="97">
        <v>0</v>
      </c>
      <c r="O356" s="97">
        <v>0</v>
      </c>
      <c r="P356" s="97">
        <f t="shared" si="70"/>
        <v>137066</v>
      </c>
      <c r="Q356" s="97">
        <f t="shared" si="71"/>
        <v>43.99684145652509</v>
      </c>
      <c r="R356" s="97">
        <v>42000</v>
      </c>
      <c r="S356" s="55" t="s">
        <v>843</v>
      </c>
      <c r="T356" s="92" t="s">
        <v>773</v>
      </c>
      <c r="X356" s="190"/>
    </row>
    <row r="357" spans="1:24" s="186" customFormat="1" ht="15">
      <c r="A357" s="10">
        <f t="shared" si="72"/>
        <v>272</v>
      </c>
      <c r="B357" s="13" t="s">
        <v>288</v>
      </c>
      <c r="C357" s="92">
        <v>1975</v>
      </c>
      <c r="D357" s="95"/>
      <c r="E357" s="92" t="s">
        <v>411</v>
      </c>
      <c r="F357" s="95">
        <v>9</v>
      </c>
      <c r="G357" s="95">
        <v>1</v>
      </c>
      <c r="H357" s="97">
        <v>3371.5</v>
      </c>
      <c r="I357" s="97">
        <v>3371.5</v>
      </c>
      <c r="J357" s="97">
        <v>3371.5</v>
      </c>
      <c r="K357" s="96">
        <v>283</v>
      </c>
      <c r="L357" s="97">
        <f>'виды работ  (2)'!C356</f>
        <v>6045577</v>
      </c>
      <c r="M357" s="97">
        <v>0</v>
      </c>
      <c r="N357" s="97">
        <v>0</v>
      </c>
      <c r="O357" s="97">
        <v>0</v>
      </c>
      <c r="P357" s="97">
        <f t="shared" si="70"/>
        <v>6045577</v>
      </c>
      <c r="Q357" s="97">
        <f t="shared" si="71"/>
        <v>1793.1416283553315</v>
      </c>
      <c r="R357" s="97">
        <v>42000</v>
      </c>
      <c r="S357" s="55" t="s">
        <v>843</v>
      </c>
      <c r="T357" s="92" t="s">
        <v>773</v>
      </c>
      <c r="X357" s="190"/>
    </row>
    <row r="358" spans="1:24" s="186" customFormat="1" ht="15">
      <c r="A358" s="117" t="s">
        <v>597</v>
      </c>
      <c r="B358" s="117"/>
      <c r="C358" s="86" t="s">
        <v>430</v>
      </c>
      <c r="D358" s="86" t="s">
        <v>430</v>
      </c>
      <c r="E358" s="86" t="s">
        <v>430</v>
      </c>
      <c r="F358" s="86" t="s">
        <v>430</v>
      </c>
      <c r="G358" s="86" t="s">
        <v>430</v>
      </c>
      <c r="H358" s="97">
        <f>SUM(H346:H357)</f>
        <v>54447.43</v>
      </c>
      <c r="I358" s="97">
        <f aca="true" t="shared" si="73" ref="I358:P358">SUM(I346:I357)</f>
        <v>54447.43</v>
      </c>
      <c r="J358" s="97">
        <f t="shared" si="73"/>
        <v>54447.43</v>
      </c>
      <c r="K358" s="96">
        <f t="shared" si="73"/>
        <v>2465</v>
      </c>
      <c r="L358" s="97">
        <f t="shared" si="73"/>
        <v>67406609</v>
      </c>
      <c r="M358" s="97">
        <f t="shared" si="73"/>
        <v>0</v>
      </c>
      <c r="N358" s="97">
        <f t="shared" si="73"/>
        <v>0</v>
      </c>
      <c r="O358" s="97">
        <f t="shared" si="73"/>
        <v>0</v>
      </c>
      <c r="P358" s="97">
        <f t="shared" si="73"/>
        <v>67406609</v>
      </c>
      <c r="Q358" s="97">
        <f aca="true" t="shared" si="74" ref="Q358:Q364">L358/H358</f>
        <v>1238.0126848962384</v>
      </c>
      <c r="R358" s="56" t="s">
        <v>430</v>
      </c>
      <c r="S358" s="56" t="s">
        <v>430</v>
      </c>
      <c r="T358" s="56" t="s">
        <v>430</v>
      </c>
      <c r="U358" s="190"/>
      <c r="X358" s="190"/>
    </row>
    <row r="359" spans="1:24" s="186" customFormat="1" ht="15">
      <c r="A359" s="105" t="s">
        <v>683</v>
      </c>
      <c r="B359" s="110"/>
      <c r="C359" s="110"/>
      <c r="D359" s="110"/>
      <c r="E359" s="106"/>
      <c r="F359" s="178"/>
      <c r="G359" s="178"/>
      <c r="H359" s="178"/>
      <c r="I359" s="178"/>
      <c r="J359" s="178"/>
      <c r="K359" s="178"/>
      <c r="L359" s="178"/>
      <c r="M359" s="178"/>
      <c r="N359" s="178"/>
      <c r="O359" s="178"/>
      <c r="P359" s="178"/>
      <c r="Q359" s="178"/>
      <c r="R359" s="178"/>
      <c r="S359" s="178"/>
      <c r="T359" s="178"/>
      <c r="X359" s="190"/>
    </row>
    <row r="360" spans="1:24" s="186" customFormat="1" ht="15">
      <c r="A360" s="10">
        <f>A357+1</f>
        <v>273</v>
      </c>
      <c r="B360" s="13" t="s">
        <v>3</v>
      </c>
      <c r="C360" s="96">
        <v>1970</v>
      </c>
      <c r="D360" s="95"/>
      <c r="E360" s="92" t="s">
        <v>94</v>
      </c>
      <c r="F360" s="95">
        <v>2</v>
      </c>
      <c r="G360" s="95">
        <v>2</v>
      </c>
      <c r="H360" s="97">
        <v>546.2</v>
      </c>
      <c r="I360" s="97">
        <v>451.65</v>
      </c>
      <c r="J360" s="97">
        <v>315.75</v>
      </c>
      <c r="K360" s="96">
        <v>51</v>
      </c>
      <c r="L360" s="97">
        <f>'виды работ  (2)'!C359</f>
        <v>201841</v>
      </c>
      <c r="M360" s="97">
        <v>0</v>
      </c>
      <c r="N360" s="97">
        <v>0</v>
      </c>
      <c r="O360" s="97">
        <v>0</v>
      </c>
      <c r="P360" s="97">
        <f>L360</f>
        <v>201841</v>
      </c>
      <c r="Q360" s="97">
        <f t="shared" si="74"/>
        <v>369.53679970706696</v>
      </c>
      <c r="R360" s="97">
        <v>42000</v>
      </c>
      <c r="S360" s="55" t="s">
        <v>843</v>
      </c>
      <c r="T360" s="92" t="s">
        <v>773</v>
      </c>
      <c r="X360" s="190"/>
    </row>
    <row r="361" spans="1:24" s="186" customFormat="1" ht="15">
      <c r="A361" s="10">
        <f>A360+1</f>
        <v>274</v>
      </c>
      <c r="B361" s="13" t="s">
        <v>4</v>
      </c>
      <c r="C361" s="96">
        <v>1970</v>
      </c>
      <c r="D361" s="95"/>
      <c r="E361" s="92" t="s">
        <v>94</v>
      </c>
      <c r="F361" s="95">
        <v>2</v>
      </c>
      <c r="G361" s="95">
        <v>2</v>
      </c>
      <c r="H361" s="97">
        <v>748</v>
      </c>
      <c r="I361" s="97">
        <v>482</v>
      </c>
      <c r="J361" s="97">
        <v>172.1</v>
      </c>
      <c r="K361" s="96">
        <v>50</v>
      </c>
      <c r="L361" s="97">
        <f>'виды работ  (2)'!C360</f>
        <v>263367</v>
      </c>
      <c r="M361" s="97">
        <v>0</v>
      </c>
      <c r="N361" s="97">
        <v>0</v>
      </c>
      <c r="O361" s="97">
        <v>0</v>
      </c>
      <c r="P361" s="97">
        <f>L361</f>
        <v>263367</v>
      </c>
      <c r="Q361" s="97">
        <f t="shared" si="74"/>
        <v>352.0949197860963</v>
      </c>
      <c r="R361" s="97">
        <v>42000</v>
      </c>
      <c r="S361" s="55" t="s">
        <v>843</v>
      </c>
      <c r="T361" s="92" t="s">
        <v>773</v>
      </c>
      <c r="X361" s="190"/>
    </row>
    <row r="362" spans="1:24" s="186" customFormat="1" ht="15">
      <c r="A362" s="10">
        <f>A361+1</f>
        <v>275</v>
      </c>
      <c r="B362" s="13" t="s">
        <v>5</v>
      </c>
      <c r="C362" s="96">
        <v>1974</v>
      </c>
      <c r="D362" s="95"/>
      <c r="E362" s="92" t="s">
        <v>94</v>
      </c>
      <c r="F362" s="95">
        <v>2</v>
      </c>
      <c r="G362" s="95">
        <v>2</v>
      </c>
      <c r="H362" s="97">
        <v>713.6</v>
      </c>
      <c r="I362" s="97">
        <v>469</v>
      </c>
      <c r="J362" s="97">
        <v>417.4</v>
      </c>
      <c r="K362" s="96">
        <v>42</v>
      </c>
      <c r="L362" s="97">
        <f>'виды работ  (2)'!C361</f>
        <v>263367</v>
      </c>
      <c r="M362" s="97">
        <v>0</v>
      </c>
      <c r="N362" s="97">
        <v>0</v>
      </c>
      <c r="O362" s="97">
        <v>0</v>
      </c>
      <c r="P362" s="97">
        <f>L362</f>
        <v>263367</v>
      </c>
      <c r="Q362" s="97">
        <f t="shared" si="74"/>
        <v>369.06810538116594</v>
      </c>
      <c r="R362" s="97">
        <v>42000</v>
      </c>
      <c r="S362" s="55" t="s">
        <v>843</v>
      </c>
      <c r="T362" s="92" t="s">
        <v>773</v>
      </c>
      <c r="X362" s="190"/>
    </row>
    <row r="363" spans="1:24" s="186" customFormat="1" ht="15">
      <c r="A363" s="117" t="s">
        <v>597</v>
      </c>
      <c r="B363" s="117"/>
      <c r="C363" s="86" t="s">
        <v>430</v>
      </c>
      <c r="D363" s="86" t="s">
        <v>430</v>
      </c>
      <c r="E363" s="86" t="s">
        <v>430</v>
      </c>
      <c r="F363" s="86" t="s">
        <v>430</v>
      </c>
      <c r="G363" s="86" t="s">
        <v>430</v>
      </c>
      <c r="H363" s="97">
        <f>SUM(H360:H362)</f>
        <v>2007.8000000000002</v>
      </c>
      <c r="I363" s="97">
        <f aca="true" t="shared" si="75" ref="I363:P363">SUM(I360:I362)</f>
        <v>1402.65</v>
      </c>
      <c r="J363" s="97">
        <f t="shared" si="75"/>
        <v>905.25</v>
      </c>
      <c r="K363" s="96">
        <f t="shared" si="75"/>
        <v>143</v>
      </c>
      <c r="L363" s="97">
        <f t="shared" si="75"/>
        <v>728575</v>
      </c>
      <c r="M363" s="97">
        <f t="shared" si="75"/>
        <v>0</v>
      </c>
      <c r="N363" s="97">
        <f t="shared" si="75"/>
        <v>0</v>
      </c>
      <c r="O363" s="97">
        <f t="shared" si="75"/>
        <v>0</v>
      </c>
      <c r="P363" s="97">
        <f t="shared" si="75"/>
        <v>728575</v>
      </c>
      <c r="Q363" s="97">
        <f t="shared" si="74"/>
        <v>362.87229803765314</v>
      </c>
      <c r="R363" s="56" t="s">
        <v>430</v>
      </c>
      <c r="S363" s="56" t="s">
        <v>430</v>
      </c>
      <c r="T363" s="56" t="s">
        <v>430</v>
      </c>
      <c r="U363" s="190"/>
      <c r="X363" s="190"/>
    </row>
    <row r="364" spans="1:24" s="186" customFormat="1" ht="15">
      <c r="A364" s="140" t="s">
        <v>626</v>
      </c>
      <c r="B364" s="140"/>
      <c r="C364" s="140"/>
      <c r="D364" s="81" t="s">
        <v>430</v>
      </c>
      <c r="E364" s="81" t="s">
        <v>430</v>
      </c>
      <c r="F364" s="81" t="s">
        <v>430</v>
      </c>
      <c r="G364" s="81" t="s">
        <v>430</v>
      </c>
      <c r="H364" s="97">
        <f>H363+H358</f>
        <v>56455.23</v>
      </c>
      <c r="I364" s="97">
        <f aca="true" t="shared" si="76" ref="I364:P364">I363+I358</f>
        <v>55850.08</v>
      </c>
      <c r="J364" s="97">
        <f t="shared" si="76"/>
        <v>55352.68</v>
      </c>
      <c r="K364" s="96">
        <f t="shared" si="76"/>
        <v>2608</v>
      </c>
      <c r="L364" s="97">
        <f>L363+L358</f>
        <v>68135184</v>
      </c>
      <c r="M364" s="97">
        <f t="shared" si="76"/>
        <v>0</v>
      </c>
      <c r="N364" s="97">
        <f t="shared" si="76"/>
        <v>0</v>
      </c>
      <c r="O364" s="97">
        <f t="shared" si="76"/>
        <v>0</v>
      </c>
      <c r="P364" s="97">
        <f t="shared" si="76"/>
        <v>68135184</v>
      </c>
      <c r="Q364" s="97">
        <f t="shared" si="74"/>
        <v>1206.8887860345267</v>
      </c>
      <c r="R364" s="56" t="s">
        <v>430</v>
      </c>
      <c r="S364" s="56" t="s">
        <v>430</v>
      </c>
      <c r="T364" s="56" t="s">
        <v>430</v>
      </c>
      <c r="U364" s="190"/>
      <c r="X364" s="190"/>
    </row>
    <row r="365" spans="1:24" s="186" customFormat="1" ht="15">
      <c r="A365" s="188"/>
      <c r="B365" s="178" t="s">
        <v>627</v>
      </c>
      <c r="C365" s="178"/>
      <c r="D365" s="178"/>
      <c r="E365" s="178"/>
      <c r="F365" s="178"/>
      <c r="G365" s="178"/>
      <c r="H365" s="178"/>
      <c r="I365" s="178"/>
      <c r="J365" s="178"/>
      <c r="K365" s="178"/>
      <c r="L365" s="178"/>
      <c r="M365" s="178"/>
      <c r="N365" s="178"/>
      <c r="O365" s="178"/>
      <c r="P365" s="178"/>
      <c r="Q365" s="178"/>
      <c r="R365" s="178"/>
      <c r="S365" s="178"/>
      <c r="T365" s="178"/>
      <c r="X365" s="190"/>
    </row>
    <row r="366" spans="1:24" s="186" customFormat="1" ht="15">
      <c r="A366" s="105" t="s">
        <v>628</v>
      </c>
      <c r="B366" s="110"/>
      <c r="C366" s="110"/>
      <c r="D366" s="110"/>
      <c r="E366" s="106"/>
      <c r="F366" s="178"/>
      <c r="G366" s="178"/>
      <c r="H366" s="178"/>
      <c r="I366" s="178"/>
      <c r="J366" s="178"/>
      <c r="K366" s="178"/>
      <c r="L366" s="178"/>
      <c r="M366" s="178"/>
      <c r="N366" s="178"/>
      <c r="O366" s="178"/>
      <c r="P366" s="178"/>
      <c r="Q366" s="178"/>
      <c r="R366" s="178"/>
      <c r="S366" s="178"/>
      <c r="T366" s="178"/>
      <c r="X366" s="190"/>
    </row>
    <row r="367" spans="1:24" s="186" customFormat="1" ht="15">
      <c r="A367" s="96">
        <f>A362+1</f>
        <v>276</v>
      </c>
      <c r="B367" s="199" t="s">
        <v>290</v>
      </c>
      <c r="C367" s="92">
        <v>1992</v>
      </c>
      <c r="D367" s="95"/>
      <c r="E367" s="92" t="s">
        <v>411</v>
      </c>
      <c r="F367" s="95">
        <v>9</v>
      </c>
      <c r="G367" s="95">
        <v>1</v>
      </c>
      <c r="H367" s="97">
        <v>2404</v>
      </c>
      <c r="I367" s="97">
        <v>2083</v>
      </c>
      <c r="J367" s="97">
        <v>2028</v>
      </c>
      <c r="K367" s="96">
        <v>108</v>
      </c>
      <c r="L367" s="97">
        <f>'виды работ  (2)'!C366</f>
        <v>3571546</v>
      </c>
      <c r="M367" s="97">
        <v>0</v>
      </c>
      <c r="N367" s="97">
        <v>0</v>
      </c>
      <c r="O367" s="97">
        <v>0</v>
      </c>
      <c r="P367" s="97">
        <f aca="true" t="shared" si="77" ref="P367:P391">L367</f>
        <v>3571546</v>
      </c>
      <c r="Q367" s="97">
        <f aca="true" t="shared" si="78" ref="Q367:Q392">L367/H367</f>
        <v>1485.6680532445923</v>
      </c>
      <c r="R367" s="97">
        <v>42000</v>
      </c>
      <c r="S367" s="55" t="s">
        <v>843</v>
      </c>
      <c r="T367" s="92" t="s">
        <v>773</v>
      </c>
      <c r="X367" s="190"/>
    </row>
    <row r="368" spans="1:24" s="186" customFormat="1" ht="15" customHeight="1">
      <c r="A368" s="96">
        <f>A367+1</f>
        <v>277</v>
      </c>
      <c r="B368" s="199" t="s">
        <v>291</v>
      </c>
      <c r="C368" s="92">
        <v>1990</v>
      </c>
      <c r="D368" s="95"/>
      <c r="E368" s="92" t="s">
        <v>411</v>
      </c>
      <c r="F368" s="95">
        <v>9</v>
      </c>
      <c r="G368" s="95">
        <v>5</v>
      </c>
      <c r="H368" s="97">
        <v>11510</v>
      </c>
      <c r="I368" s="97">
        <v>10173</v>
      </c>
      <c r="J368" s="97">
        <v>9017</v>
      </c>
      <c r="K368" s="96">
        <v>540</v>
      </c>
      <c r="L368" s="97">
        <f>'виды работ  (2)'!C367</f>
        <v>17857724</v>
      </c>
      <c r="M368" s="97">
        <v>0</v>
      </c>
      <c r="N368" s="97">
        <v>0</v>
      </c>
      <c r="O368" s="97">
        <v>0</v>
      </c>
      <c r="P368" s="97">
        <f t="shared" si="77"/>
        <v>17857724</v>
      </c>
      <c r="Q368" s="97">
        <f t="shared" si="78"/>
        <v>1551.4964378801042</v>
      </c>
      <c r="R368" s="97">
        <v>42000</v>
      </c>
      <c r="S368" s="55" t="s">
        <v>843</v>
      </c>
      <c r="T368" s="92" t="s">
        <v>773</v>
      </c>
      <c r="X368" s="190"/>
    </row>
    <row r="369" spans="1:24" s="186" customFormat="1" ht="15" customHeight="1">
      <c r="A369" s="96">
        <f aca="true" t="shared" si="79" ref="A369:A391">A368+1</f>
        <v>278</v>
      </c>
      <c r="B369" s="199" t="s">
        <v>305</v>
      </c>
      <c r="C369" s="92">
        <v>1991</v>
      </c>
      <c r="D369" s="95"/>
      <c r="E369" s="92" t="s">
        <v>411</v>
      </c>
      <c r="F369" s="95">
        <v>9</v>
      </c>
      <c r="G369" s="95">
        <v>1</v>
      </c>
      <c r="H369" s="97">
        <v>2381</v>
      </c>
      <c r="I369" s="97">
        <v>2133</v>
      </c>
      <c r="J369" s="97">
        <v>2067</v>
      </c>
      <c r="K369" s="96">
        <v>105</v>
      </c>
      <c r="L369" s="97">
        <f>'виды работ  (2)'!C368</f>
        <v>3571546</v>
      </c>
      <c r="M369" s="97">
        <v>0</v>
      </c>
      <c r="N369" s="97">
        <v>0</v>
      </c>
      <c r="O369" s="97">
        <v>0</v>
      </c>
      <c r="P369" s="97">
        <f t="shared" si="77"/>
        <v>3571546</v>
      </c>
      <c r="Q369" s="97">
        <f t="shared" si="78"/>
        <v>1500.0193196136076</v>
      </c>
      <c r="R369" s="97">
        <v>42000</v>
      </c>
      <c r="S369" s="55" t="s">
        <v>843</v>
      </c>
      <c r="T369" s="92" t="s">
        <v>773</v>
      </c>
      <c r="X369" s="190"/>
    </row>
    <row r="370" spans="1:24" s="186" customFormat="1" ht="15" customHeight="1">
      <c r="A370" s="96">
        <f t="shared" si="79"/>
        <v>279</v>
      </c>
      <c r="B370" s="199" t="s">
        <v>313</v>
      </c>
      <c r="C370" s="92">
        <v>1980</v>
      </c>
      <c r="D370" s="95"/>
      <c r="E370" s="92" t="s">
        <v>411</v>
      </c>
      <c r="F370" s="95">
        <v>6</v>
      </c>
      <c r="G370" s="95">
        <v>12</v>
      </c>
      <c r="H370" s="97">
        <v>9886</v>
      </c>
      <c r="I370" s="97">
        <v>7935</v>
      </c>
      <c r="J370" s="97">
        <v>7548</v>
      </c>
      <c r="K370" s="96">
        <v>357</v>
      </c>
      <c r="L370" s="97">
        <f>'виды работ  (2)'!C369</f>
        <v>863398</v>
      </c>
      <c r="M370" s="97">
        <v>0</v>
      </c>
      <c r="N370" s="97">
        <v>0</v>
      </c>
      <c r="O370" s="97">
        <v>0</v>
      </c>
      <c r="P370" s="97">
        <f t="shared" si="77"/>
        <v>863398</v>
      </c>
      <c r="Q370" s="97">
        <f t="shared" si="78"/>
        <v>87.33542383168117</v>
      </c>
      <c r="R370" s="97">
        <v>42000</v>
      </c>
      <c r="S370" s="55" t="s">
        <v>843</v>
      </c>
      <c r="T370" s="92" t="s">
        <v>773</v>
      </c>
      <c r="X370" s="190"/>
    </row>
    <row r="371" spans="1:24" s="186" customFormat="1" ht="15" customHeight="1">
      <c r="A371" s="96">
        <f>A370+1</f>
        <v>280</v>
      </c>
      <c r="B371" s="199" t="s">
        <v>306</v>
      </c>
      <c r="C371" s="92">
        <v>1967</v>
      </c>
      <c r="D371" s="95"/>
      <c r="E371" s="92" t="s">
        <v>411</v>
      </c>
      <c r="F371" s="95">
        <v>5</v>
      </c>
      <c r="G371" s="95">
        <v>8</v>
      </c>
      <c r="H371" s="97">
        <v>6308</v>
      </c>
      <c r="I371" s="97">
        <v>5616</v>
      </c>
      <c r="J371" s="97">
        <v>5017</v>
      </c>
      <c r="K371" s="96">
        <v>262</v>
      </c>
      <c r="L371" s="97">
        <f>'виды работ  (2)'!C370</f>
        <v>426053</v>
      </c>
      <c r="M371" s="97">
        <v>0</v>
      </c>
      <c r="N371" s="97">
        <v>0</v>
      </c>
      <c r="O371" s="97">
        <v>0</v>
      </c>
      <c r="P371" s="97">
        <f t="shared" si="77"/>
        <v>426053</v>
      </c>
      <c r="Q371" s="97">
        <f t="shared" si="78"/>
        <v>67.54169308814204</v>
      </c>
      <c r="R371" s="97">
        <v>42000</v>
      </c>
      <c r="S371" s="55" t="s">
        <v>843</v>
      </c>
      <c r="T371" s="92" t="s">
        <v>773</v>
      </c>
      <c r="X371" s="190"/>
    </row>
    <row r="372" spans="1:24" s="186" customFormat="1" ht="15" customHeight="1">
      <c r="A372" s="96">
        <f t="shared" si="79"/>
        <v>281</v>
      </c>
      <c r="B372" s="199" t="s">
        <v>788</v>
      </c>
      <c r="C372" s="92">
        <v>1969</v>
      </c>
      <c r="D372" s="95"/>
      <c r="E372" s="92" t="s">
        <v>411</v>
      </c>
      <c r="F372" s="95">
        <v>5</v>
      </c>
      <c r="G372" s="95">
        <v>8</v>
      </c>
      <c r="H372" s="97">
        <v>6396</v>
      </c>
      <c r="I372" s="97">
        <v>5812</v>
      </c>
      <c r="J372" s="97">
        <v>5444</v>
      </c>
      <c r="K372" s="96">
        <v>255</v>
      </c>
      <c r="L372" s="97">
        <f>'виды работ  (2)'!C371</f>
        <v>423349</v>
      </c>
      <c r="M372" s="97">
        <v>0</v>
      </c>
      <c r="N372" s="97">
        <v>0</v>
      </c>
      <c r="O372" s="97">
        <v>0</v>
      </c>
      <c r="P372" s="97">
        <f t="shared" si="77"/>
        <v>423349</v>
      </c>
      <c r="Q372" s="97">
        <f t="shared" si="78"/>
        <v>66.18964978111319</v>
      </c>
      <c r="R372" s="97">
        <v>42000</v>
      </c>
      <c r="S372" s="55" t="s">
        <v>843</v>
      </c>
      <c r="T372" s="92" t="s">
        <v>773</v>
      </c>
      <c r="X372" s="190"/>
    </row>
    <row r="373" spans="1:24" s="186" customFormat="1" ht="15" customHeight="1">
      <c r="A373" s="96">
        <f t="shared" si="79"/>
        <v>282</v>
      </c>
      <c r="B373" s="199" t="s">
        <v>292</v>
      </c>
      <c r="C373" s="92">
        <v>1968</v>
      </c>
      <c r="D373" s="95"/>
      <c r="E373" s="92" t="s">
        <v>94</v>
      </c>
      <c r="F373" s="95">
        <v>9</v>
      </c>
      <c r="G373" s="95">
        <v>1</v>
      </c>
      <c r="H373" s="97">
        <v>2297</v>
      </c>
      <c r="I373" s="97">
        <v>1945</v>
      </c>
      <c r="J373" s="97">
        <v>1815</v>
      </c>
      <c r="K373" s="96">
        <v>64</v>
      </c>
      <c r="L373" s="97">
        <f>'виды работ  (2)'!C372</f>
        <v>151182</v>
      </c>
      <c r="M373" s="97">
        <v>0</v>
      </c>
      <c r="N373" s="97">
        <v>0</v>
      </c>
      <c r="O373" s="97">
        <v>0</v>
      </c>
      <c r="P373" s="97">
        <f t="shared" si="77"/>
        <v>151182</v>
      </c>
      <c r="Q373" s="97">
        <f t="shared" si="78"/>
        <v>65.81715280801045</v>
      </c>
      <c r="R373" s="97">
        <v>42000</v>
      </c>
      <c r="S373" s="55" t="s">
        <v>843</v>
      </c>
      <c r="T373" s="92" t="s">
        <v>773</v>
      </c>
      <c r="X373" s="190"/>
    </row>
    <row r="374" spans="1:24" s="186" customFormat="1" ht="15" customHeight="1">
      <c r="A374" s="96">
        <f t="shared" si="79"/>
        <v>283</v>
      </c>
      <c r="B374" s="199" t="s">
        <v>293</v>
      </c>
      <c r="C374" s="92">
        <v>1976</v>
      </c>
      <c r="D374" s="95"/>
      <c r="E374" s="92" t="s">
        <v>94</v>
      </c>
      <c r="F374" s="95">
        <v>12</v>
      </c>
      <c r="G374" s="95">
        <v>1</v>
      </c>
      <c r="H374" s="97">
        <v>3989</v>
      </c>
      <c r="I374" s="97">
        <v>3226</v>
      </c>
      <c r="J374" s="97">
        <v>2603</v>
      </c>
      <c r="K374" s="96">
        <v>107</v>
      </c>
      <c r="L374" s="97">
        <f>'виды работ  (2)'!C373</f>
        <v>202624</v>
      </c>
      <c r="M374" s="97">
        <v>0</v>
      </c>
      <c r="N374" s="97">
        <v>0</v>
      </c>
      <c r="O374" s="97">
        <v>0</v>
      </c>
      <c r="P374" s="97">
        <f t="shared" si="77"/>
        <v>202624</v>
      </c>
      <c r="Q374" s="97">
        <f t="shared" si="78"/>
        <v>50.795688142391576</v>
      </c>
      <c r="R374" s="97">
        <v>42000</v>
      </c>
      <c r="S374" s="55" t="s">
        <v>843</v>
      </c>
      <c r="T374" s="92" t="s">
        <v>773</v>
      </c>
      <c r="X374" s="190"/>
    </row>
    <row r="375" spans="1:24" s="186" customFormat="1" ht="15" customHeight="1">
      <c r="A375" s="96">
        <f t="shared" si="79"/>
        <v>284</v>
      </c>
      <c r="B375" s="199" t="s">
        <v>294</v>
      </c>
      <c r="C375" s="92">
        <v>1964</v>
      </c>
      <c r="D375" s="95"/>
      <c r="E375" s="92" t="s">
        <v>94</v>
      </c>
      <c r="F375" s="95">
        <v>4</v>
      </c>
      <c r="G375" s="95">
        <v>3</v>
      </c>
      <c r="H375" s="97">
        <v>1997</v>
      </c>
      <c r="I375" s="97">
        <v>1484</v>
      </c>
      <c r="J375" s="97">
        <v>1308</v>
      </c>
      <c r="K375" s="96">
        <v>71</v>
      </c>
      <c r="L375" s="97">
        <f>'виды работ  (2)'!C374</f>
        <v>368532</v>
      </c>
      <c r="M375" s="97">
        <v>0</v>
      </c>
      <c r="N375" s="97">
        <v>0</v>
      </c>
      <c r="O375" s="97">
        <v>0</v>
      </c>
      <c r="P375" s="97">
        <f t="shared" si="77"/>
        <v>368532</v>
      </c>
      <c r="Q375" s="97">
        <f t="shared" si="78"/>
        <v>184.542814221332</v>
      </c>
      <c r="R375" s="97">
        <v>42000</v>
      </c>
      <c r="S375" s="55" t="s">
        <v>843</v>
      </c>
      <c r="T375" s="92" t="s">
        <v>773</v>
      </c>
      <c r="X375" s="190"/>
    </row>
    <row r="376" spans="1:24" s="186" customFormat="1" ht="15" customHeight="1">
      <c r="A376" s="96">
        <f t="shared" si="79"/>
        <v>285</v>
      </c>
      <c r="B376" s="199" t="s">
        <v>295</v>
      </c>
      <c r="C376" s="92">
        <v>1964</v>
      </c>
      <c r="D376" s="95"/>
      <c r="E376" s="92" t="s">
        <v>94</v>
      </c>
      <c r="F376" s="95">
        <v>5</v>
      </c>
      <c r="G376" s="95">
        <v>4</v>
      </c>
      <c r="H376" s="97">
        <v>3508</v>
      </c>
      <c r="I376" s="97">
        <v>2504</v>
      </c>
      <c r="J376" s="97">
        <v>2316</v>
      </c>
      <c r="K376" s="96">
        <v>122</v>
      </c>
      <c r="L376" s="97">
        <f>'виды работ  (2)'!C375</f>
        <v>453635</v>
      </c>
      <c r="M376" s="97">
        <v>0</v>
      </c>
      <c r="N376" s="97">
        <v>0</v>
      </c>
      <c r="O376" s="97">
        <v>0</v>
      </c>
      <c r="P376" s="97">
        <f t="shared" si="77"/>
        <v>453635</v>
      </c>
      <c r="Q376" s="97">
        <f t="shared" si="78"/>
        <v>129.31442417331812</v>
      </c>
      <c r="R376" s="97">
        <v>42000</v>
      </c>
      <c r="S376" s="55" t="s">
        <v>843</v>
      </c>
      <c r="T376" s="92" t="s">
        <v>773</v>
      </c>
      <c r="X376" s="190"/>
    </row>
    <row r="377" spans="1:24" s="186" customFormat="1" ht="15" customHeight="1">
      <c r="A377" s="96">
        <f t="shared" si="79"/>
        <v>286</v>
      </c>
      <c r="B377" s="199" t="s">
        <v>296</v>
      </c>
      <c r="C377" s="92">
        <v>1965</v>
      </c>
      <c r="D377" s="95"/>
      <c r="E377" s="92" t="s">
        <v>94</v>
      </c>
      <c r="F377" s="95">
        <v>5</v>
      </c>
      <c r="G377" s="95">
        <v>4</v>
      </c>
      <c r="H377" s="97">
        <v>3440</v>
      </c>
      <c r="I377" s="97">
        <v>3142</v>
      </c>
      <c r="J377" s="97">
        <v>2999</v>
      </c>
      <c r="K377" s="96">
        <v>140</v>
      </c>
      <c r="L377" s="97">
        <f>'виды работ  (2)'!C376</f>
        <v>173089</v>
      </c>
      <c r="M377" s="97">
        <v>0</v>
      </c>
      <c r="N377" s="97">
        <v>0</v>
      </c>
      <c r="O377" s="97">
        <v>0</v>
      </c>
      <c r="P377" s="97">
        <f t="shared" si="77"/>
        <v>173089</v>
      </c>
      <c r="Q377" s="97">
        <f t="shared" si="78"/>
        <v>50.31656976744186</v>
      </c>
      <c r="R377" s="97">
        <v>42000</v>
      </c>
      <c r="S377" s="55" t="s">
        <v>843</v>
      </c>
      <c r="T377" s="92" t="s">
        <v>773</v>
      </c>
      <c r="X377" s="190"/>
    </row>
    <row r="378" spans="1:24" s="186" customFormat="1" ht="15" customHeight="1">
      <c r="A378" s="96">
        <f t="shared" si="79"/>
        <v>287</v>
      </c>
      <c r="B378" s="199" t="s">
        <v>297</v>
      </c>
      <c r="C378" s="92">
        <v>1963</v>
      </c>
      <c r="D378" s="95"/>
      <c r="E378" s="92" t="s">
        <v>94</v>
      </c>
      <c r="F378" s="95">
        <v>5</v>
      </c>
      <c r="G378" s="95">
        <v>4</v>
      </c>
      <c r="H378" s="97">
        <v>3438</v>
      </c>
      <c r="I378" s="97">
        <v>3145</v>
      </c>
      <c r="J378" s="97">
        <v>2737</v>
      </c>
      <c r="K378" s="96">
        <v>124</v>
      </c>
      <c r="L378" s="97">
        <f>'виды работ  (2)'!C377</f>
        <v>187511</v>
      </c>
      <c r="M378" s="97">
        <v>0</v>
      </c>
      <c r="N378" s="97">
        <v>0</v>
      </c>
      <c r="O378" s="97">
        <v>0</v>
      </c>
      <c r="P378" s="97">
        <f t="shared" si="77"/>
        <v>187511</v>
      </c>
      <c r="Q378" s="97">
        <f t="shared" si="78"/>
        <v>54.540721349621876</v>
      </c>
      <c r="R378" s="97">
        <v>42000</v>
      </c>
      <c r="S378" s="55" t="s">
        <v>843</v>
      </c>
      <c r="T378" s="92" t="s">
        <v>773</v>
      </c>
      <c r="X378" s="190"/>
    </row>
    <row r="379" spans="1:24" s="186" customFormat="1" ht="15" customHeight="1">
      <c r="A379" s="96">
        <f t="shared" si="79"/>
        <v>288</v>
      </c>
      <c r="B379" s="199" t="s">
        <v>298</v>
      </c>
      <c r="C379" s="92">
        <v>1963</v>
      </c>
      <c r="D379" s="95"/>
      <c r="E379" s="92" t="s">
        <v>94</v>
      </c>
      <c r="F379" s="95">
        <v>5</v>
      </c>
      <c r="G379" s="95">
        <v>4</v>
      </c>
      <c r="H379" s="97">
        <v>3413</v>
      </c>
      <c r="I379" s="97">
        <v>3124</v>
      </c>
      <c r="J379" s="97">
        <v>2903</v>
      </c>
      <c r="K379" s="96">
        <v>124</v>
      </c>
      <c r="L379" s="97">
        <f>'виды работ  (2)'!C378</f>
        <v>188044</v>
      </c>
      <c r="M379" s="97">
        <v>0</v>
      </c>
      <c r="N379" s="97">
        <v>0</v>
      </c>
      <c r="O379" s="97">
        <v>0</v>
      </c>
      <c r="P379" s="97">
        <f t="shared" si="77"/>
        <v>188044</v>
      </c>
      <c r="Q379" s="97">
        <f t="shared" si="78"/>
        <v>55.096396132434805</v>
      </c>
      <c r="R379" s="97">
        <v>42000</v>
      </c>
      <c r="S379" s="55" t="s">
        <v>843</v>
      </c>
      <c r="T379" s="92" t="s">
        <v>773</v>
      </c>
      <c r="X379" s="190"/>
    </row>
    <row r="380" spans="1:24" s="186" customFormat="1" ht="15" customHeight="1">
      <c r="A380" s="96">
        <f t="shared" si="79"/>
        <v>289</v>
      </c>
      <c r="B380" s="199" t="s">
        <v>299</v>
      </c>
      <c r="C380" s="92">
        <v>1963</v>
      </c>
      <c r="D380" s="95"/>
      <c r="E380" s="92" t="s">
        <v>94</v>
      </c>
      <c r="F380" s="95">
        <v>4</v>
      </c>
      <c r="G380" s="95">
        <v>3</v>
      </c>
      <c r="H380" s="97">
        <v>2236</v>
      </c>
      <c r="I380" s="97">
        <v>1560</v>
      </c>
      <c r="J380" s="97">
        <v>1304</v>
      </c>
      <c r="K380" s="96">
        <v>89</v>
      </c>
      <c r="L380" s="97">
        <f>'виды работ  (2)'!C379</f>
        <v>365543</v>
      </c>
      <c r="M380" s="97">
        <v>0</v>
      </c>
      <c r="N380" s="97">
        <v>0</v>
      </c>
      <c r="O380" s="97">
        <v>0</v>
      </c>
      <c r="P380" s="97">
        <f t="shared" si="77"/>
        <v>365543</v>
      </c>
      <c r="Q380" s="97">
        <f t="shared" si="78"/>
        <v>163.48076923076923</v>
      </c>
      <c r="R380" s="97">
        <v>42000</v>
      </c>
      <c r="S380" s="55" t="s">
        <v>843</v>
      </c>
      <c r="T380" s="92" t="s">
        <v>773</v>
      </c>
      <c r="X380" s="190"/>
    </row>
    <row r="381" spans="1:24" s="186" customFormat="1" ht="15" customHeight="1">
      <c r="A381" s="96">
        <f t="shared" si="79"/>
        <v>290</v>
      </c>
      <c r="B381" s="199" t="s">
        <v>301</v>
      </c>
      <c r="C381" s="92">
        <v>1963</v>
      </c>
      <c r="D381" s="95"/>
      <c r="E381" s="92" t="s">
        <v>94</v>
      </c>
      <c r="F381" s="95">
        <v>5</v>
      </c>
      <c r="G381" s="95">
        <v>4</v>
      </c>
      <c r="H381" s="97">
        <v>3495</v>
      </c>
      <c r="I381" s="97">
        <v>3250</v>
      </c>
      <c r="J381" s="97">
        <v>3028</v>
      </c>
      <c r="K381" s="96">
        <v>143</v>
      </c>
      <c r="L381" s="97">
        <f>'виды работ  (2)'!C380</f>
        <v>264959</v>
      </c>
      <c r="M381" s="97">
        <v>0</v>
      </c>
      <c r="N381" s="97">
        <v>0</v>
      </c>
      <c r="O381" s="97">
        <v>0</v>
      </c>
      <c r="P381" s="97">
        <f t="shared" si="77"/>
        <v>264959</v>
      </c>
      <c r="Q381" s="97">
        <f t="shared" si="78"/>
        <v>75.81087267525035</v>
      </c>
      <c r="R381" s="97">
        <v>42000</v>
      </c>
      <c r="S381" s="55" t="s">
        <v>843</v>
      </c>
      <c r="T381" s="92" t="s">
        <v>773</v>
      </c>
      <c r="X381" s="190"/>
    </row>
    <row r="382" spans="1:24" s="186" customFormat="1" ht="15" customHeight="1">
      <c r="A382" s="96">
        <f t="shared" si="79"/>
        <v>291</v>
      </c>
      <c r="B382" s="199" t="s">
        <v>300</v>
      </c>
      <c r="C382" s="92">
        <v>1963</v>
      </c>
      <c r="D382" s="95"/>
      <c r="E382" s="92" t="s">
        <v>94</v>
      </c>
      <c r="F382" s="95">
        <v>5</v>
      </c>
      <c r="G382" s="95">
        <v>3</v>
      </c>
      <c r="H382" s="97">
        <v>3182</v>
      </c>
      <c r="I382" s="97">
        <v>2432</v>
      </c>
      <c r="J382" s="97">
        <v>568</v>
      </c>
      <c r="K382" s="96">
        <v>99</v>
      </c>
      <c r="L382" s="97">
        <f>'виды работ  (2)'!C381</f>
        <v>1192274</v>
      </c>
      <c r="M382" s="97">
        <v>0</v>
      </c>
      <c r="N382" s="97">
        <v>0</v>
      </c>
      <c r="O382" s="97">
        <v>0</v>
      </c>
      <c r="P382" s="97">
        <f t="shared" si="77"/>
        <v>1192274</v>
      </c>
      <c r="Q382" s="97">
        <f t="shared" si="78"/>
        <v>374.69327467001887</v>
      </c>
      <c r="R382" s="97">
        <v>42000</v>
      </c>
      <c r="S382" s="55" t="s">
        <v>843</v>
      </c>
      <c r="T382" s="92" t="s">
        <v>773</v>
      </c>
      <c r="X382" s="190"/>
    </row>
    <row r="383" spans="1:24" s="186" customFormat="1" ht="15" customHeight="1">
      <c r="A383" s="96">
        <f t="shared" si="79"/>
        <v>292</v>
      </c>
      <c r="B383" s="199" t="s">
        <v>302</v>
      </c>
      <c r="C383" s="92">
        <v>1964</v>
      </c>
      <c r="D383" s="95"/>
      <c r="E383" s="92" t="s">
        <v>94</v>
      </c>
      <c r="F383" s="95">
        <v>5</v>
      </c>
      <c r="G383" s="95">
        <v>4</v>
      </c>
      <c r="H383" s="97">
        <v>3579</v>
      </c>
      <c r="I383" s="97">
        <v>3139</v>
      </c>
      <c r="J383" s="97">
        <v>3065</v>
      </c>
      <c r="K383" s="96">
        <v>119</v>
      </c>
      <c r="L383" s="97">
        <f>'виды работ  (2)'!C382</f>
        <v>179570</v>
      </c>
      <c r="M383" s="97">
        <v>0</v>
      </c>
      <c r="N383" s="97">
        <v>0</v>
      </c>
      <c r="O383" s="97">
        <v>0</v>
      </c>
      <c r="P383" s="97">
        <f t="shared" si="77"/>
        <v>179570</v>
      </c>
      <c r="Q383" s="97">
        <f t="shared" si="78"/>
        <v>50.173232746577256</v>
      </c>
      <c r="R383" s="97">
        <v>42000</v>
      </c>
      <c r="S383" s="55" t="s">
        <v>843</v>
      </c>
      <c r="T383" s="92" t="s">
        <v>773</v>
      </c>
      <c r="X383" s="190"/>
    </row>
    <row r="384" spans="1:24" s="186" customFormat="1" ht="15" customHeight="1">
      <c r="A384" s="96">
        <f t="shared" si="79"/>
        <v>293</v>
      </c>
      <c r="B384" s="199" t="s">
        <v>303</v>
      </c>
      <c r="C384" s="92">
        <v>1966</v>
      </c>
      <c r="D384" s="95"/>
      <c r="E384" s="92" t="s">
        <v>94</v>
      </c>
      <c r="F384" s="95">
        <v>5</v>
      </c>
      <c r="G384" s="95">
        <v>4</v>
      </c>
      <c r="H384" s="97">
        <v>3572</v>
      </c>
      <c r="I384" s="97">
        <v>3264</v>
      </c>
      <c r="J384" s="97">
        <v>2955</v>
      </c>
      <c r="K384" s="96">
        <v>124</v>
      </c>
      <c r="L384" s="97">
        <f>'виды работ  (2)'!C383</f>
        <v>185916</v>
      </c>
      <c r="M384" s="97">
        <v>0</v>
      </c>
      <c r="N384" s="97">
        <v>0</v>
      </c>
      <c r="O384" s="97">
        <v>0</v>
      </c>
      <c r="P384" s="97">
        <f t="shared" si="77"/>
        <v>185916</v>
      </c>
      <c r="Q384" s="97">
        <f t="shared" si="78"/>
        <v>52.0481522956327</v>
      </c>
      <c r="R384" s="97">
        <v>42000</v>
      </c>
      <c r="S384" s="55" t="s">
        <v>843</v>
      </c>
      <c r="T384" s="92" t="s">
        <v>773</v>
      </c>
      <c r="X384" s="190"/>
    </row>
    <row r="385" spans="1:24" s="186" customFormat="1" ht="15" customHeight="1">
      <c r="A385" s="96">
        <f t="shared" si="79"/>
        <v>294</v>
      </c>
      <c r="B385" s="199" t="s">
        <v>304</v>
      </c>
      <c r="C385" s="92">
        <v>1966</v>
      </c>
      <c r="D385" s="95"/>
      <c r="E385" s="92" t="s">
        <v>94</v>
      </c>
      <c r="F385" s="95">
        <v>5</v>
      </c>
      <c r="G385" s="95">
        <v>4</v>
      </c>
      <c r="H385" s="97">
        <v>3464</v>
      </c>
      <c r="I385" s="97">
        <v>3166</v>
      </c>
      <c r="J385" s="97">
        <v>2976</v>
      </c>
      <c r="K385" s="96">
        <v>145</v>
      </c>
      <c r="L385" s="97">
        <f>'виды работ  (2)'!C384</f>
        <v>455146</v>
      </c>
      <c r="M385" s="97">
        <v>0</v>
      </c>
      <c r="N385" s="97">
        <v>0</v>
      </c>
      <c r="O385" s="97">
        <v>0</v>
      </c>
      <c r="P385" s="97">
        <f t="shared" si="77"/>
        <v>455146</v>
      </c>
      <c r="Q385" s="97">
        <f t="shared" si="78"/>
        <v>131.3931870669746</v>
      </c>
      <c r="R385" s="97">
        <v>42000</v>
      </c>
      <c r="S385" s="55" t="s">
        <v>843</v>
      </c>
      <c r="T385" s="92" t="s">
        <v>773</v>
      </c>
      <c r="X385" s="190"/>
    </row>
    <row r="386" spans="1:24" s="186" customFormat="1" ht="15" customHeight="1">
      <c r="A386" s="96">
        <f t="shared" si="79"/>
        <v>295</v>
      </c>
      <c r="B386" s="199" t="s">
        <v>307</v>
      </c>
      <c r="C386" s="92">
        <v>1970</v>
      </c>
      <c r="D386" s="95"/>
      <c r="E386" s="92" t="s">
        <v>94</v>
      </c>
      <c r="F386" s="95">
        <v>5</v>
      </c>
      <c r="G386" s="95">
        <v>4</v>
      </c>
      <c r="H386" s="97">
        <v>3728</v>
      </c>
      <c r="I386" s="97">
        <v>3385</v>
      </c>
      <c r="J386" s="97">
        <v>3261</v>
      </c>
      <c r="K386" s="96">
        <v>132</v>
      </c>
      <c r="L386" s="97">
        <f>'виды работ  (2)'!C385</f>
        <v>330827</v>
      </c>
      <c r="M386" s="97">
        <v>0</v>
      </c>
      <c r="N386" s="97">
        <v>0</v>
      </c>
      <c r="O386" s="97">
        <v>0</v>
      </c>
      <c r="P386" s="97">
        <f t="shared" si="77"/>
        <v>330827</v>
      </c>
      <c r="Q386" s="97">
        <f t="shared" si="78"/>
        <v>88.74114806866953</v>
      </c>
      <c r="R386" s="97">
        <v>42000</v>
      </c>
      <c r="S386" s="55" t="s">
        <v>843</v>
      </c>
      <c r="T386" s="92" t="s">
        <v>773</v>
      </c>
      <c r="X386" s="190"/>
    </row>
    <row r="387" spans="1:24" s="186" customFormat="1" ht="15" customHeight="1">
      <c r="A387" s="96">
        <f t="shared" si="79"/>
        <v>296</v>
      </c>
      <c r="B387" s="199" t="s">
        <v>308</v>
      </c>
      <c r="C387" s="92">
        <v>1970</v>
      </c>
      <c r="D387" s="95"/>
      <c r="E387" s="92" t="s">
        <v>411</v>
      </c>
      <c r="F387" s="95">
        <v>5</v>
      </c>
      <c r="G387" s="95">
        <v>8</v>
      </c>
      <c r="H387" s="97">
        <v>6531</v>
      </c>
      <c r="I387" s="97">
        <v>5645</v>
      </c>
      <c r="J387" s="97">
        <v>4788</v>
      </c>
      <c r="K387" s="96">
        <v>303</v>
      </c>
      <c r="L387" s="97">
        <f>'виды работ  (2)'!C386</f>
        <v>633715</v>
      </c>
      <c r="M387" s="97">
        <v>0</v>
      </c>
      <c r="N387" s="97">
        <v>0</v>
      </c>
      <c r="O387" s="97">
        <v>0</v>
      </c>
      <c r="P387" s="97">
        <f t="shared" si="77"/>
        <v>633715</v>
      </c>
      <c r="Q387" s="97">
        <f t="shared" si="78"/>
        <v>97.03184810901853</v>
      </c>
      <c r="R387" s="97">
        <v>42000</v>
      </c>
      <c r="S387" s="55" t="s">
        <v>843</v>
      </c>
      <c r="T387" s="92" t="s">
        <v>773</v>
      </c>
      <c r="X387" s="190"/>
    </row>
    <row r="388" spans="1:24" s="186" customFormat="1" ht="15" customHeight="1">
      <c r="A388" s="96">
        <f t="shared" si="79"/>
        <v>297</v>
      </c>
      <c r="B388" s="199" t="s">
        <v>309</v>
      </c>
      <c r="C388" s="92">
        <v>1970</v>
      </c>
      <c r="D388" s="95"/>
      <c r="E388" s="92" t="s">
        <v>94</v>
      </c>
      <c r="F388" s="95">
        <v>5</v>
      </c>
      <c r="G388" s="95">
        <v>5</v>
      </c>
      <c r="H388" s="97">
        <v>4814</v>
      </c>
      <c r="I388" s="97">
        <v>4310</v>
      </c>
      <c r="J388" s="97">
        <v>3884</v>
      </c>
      <c r="K388" s="96">
        <v>193</v>
      </c>
      <c r="L388" s="97">
        <f>'виды работ  (2)'!C387</f>
        <v>319702</v>
      </c>
      <c r="M388" s="97">
        <v>0</v>
      </c>
      <c r="N388" s="97">
        <v>0</v>
      </c>
      <c r="O388" s="97">
        <v>0</v>
      </c>
      <c r="P388" s="97">
        <f t="shared" si="77"/>
        <v>319702</v>
      </c>
      <c r="Q388" s="97">
        <f t="shared" si="78"/>
        <v>66.41088491898628</v>
      </c>
      <c r="R388" s="97">
        <v>42000</v>
      </c>
      <c r="S388" s="55" t="s">
        <v>843</v>
      </c>
      <c r="T388" s="92" t="s">
        <v>773</v>
      </c>
      <c r="X388" s="190"/>
    </row>
    <row r="389" spans="1:24" s="186" customFormat="1" ht="15" customHeight="1">
      <c r="A389" s="96">
        <f t="shared" si="79"/>
        <v>298</v>
      </c>
      <c r="B389" s="199" t="s">
        <v>310</v>
      </c>
      <c r="C389" s="92">
        <v>1967</v>
      </c>
      <c r="D389" s="95"/>
      <c r="E389" s="92" t="s">
        <v>94</v>
      </c>
      <c r="F389" s="95">
        <v>5</v>
      </c>
      <c r="G389" s="95">
        <v>6</v>
      </c>
      <c r="H389" s="97">
        <v>6131</v>
      </c>
      <c r="I389" s="97">
        <v>5328</v>
      </c>
      <c r="J389" s="97">
        <v>5055</v>
      </c>
      <c r="K389" s="96">
        <v>219</v>
      </c>
      <c r="L389" s="97">
        <f>'виды работ  (2)'!C388</f>
        <v>272907</v>
      </c>
      <c r="M389" s="97">
        <v>0</v>
      </c>
      <c r="N389" s="97">
        <v>0</v>
      </c>
      <c r="O389" s="97">
        <v>0</v>
      </c>
      <c r="P389" s="97">
        <f t="shared" si="77"/>
        <v>272907</v>
      </c>
      <c r="Q389" s="97">
        <f t="shared" si="78"/>
        <v>44.512640678519</v>
      </c>
      <c r="R389" s="97">
        <v>42000</v>
      </c>
      <c r="S389" s="55" t="s">
        <v>843</v>
      </c>
      <c r="T389" s="92" t="s">
        <v>773</v>
      </c>
      <c r="X389" s="190"/>
    </row>
    <row r="390" spans="1:24" s="186" customFormat="1" ht="15" customHeight="1">
      <c r="A390" s="96">
        <f t="shared" si="79"/>
        <v>299</v>
      </c>
      <c r="B390" s="199" t="s">
        <v>311</v>
      </c>
      <c r="C390" s="92">
        <v>1971</v>
      </c>
      <c r="D390" s="95"/>
      <c r="E390" s="92" t="s">
        <v>94</v>
      </c>
      <c r="F390" s="95">
        <v>9</v>
      </c>
      <c r="G390" s="95">
        <v>5</v>
      </c>
      <c r="H390" s="97">
        <v>15494</v>
      </c>
      <c r="I390" s="97">
        <v>11188</v>
      </c>
      <c r="J390" s="97">
        <v>10429</v>
      </c>
      <c r="K390" s="96">
        <v>868</v>
      </c>
      <c r="L390" s="97">
        <f>'виды работ  (2)'!C389</f>
        <v>486428</v>
      </c>
      <c r="M390" s="97">
        <v>0</v>
      </c>
      <c r="N390" s="97">
        <v>0</v>
      </c>
      <c r="O390" s="97">
        <v>0</v>
      </c>
      <c r="P390" s="97">
        <f t="shared" si="77"/>
        <v>486428</v>
      </c>
      <c r="Q390" s="97">
        <f t="shared" si="78"/>
        <v>31.39460436297922</v>
      </c>
      <c r="R390" s="97">
        <v>42000</v>
      </c>
      <c r="S390" s="55" t="s">
        <v>843</v>
      </c>
      <c r="T390" s="92" t="s">
        <v>773</v>
      </c>
      <c r="X390" s="190"/>
    </row>
    <row r="391" spans="1:24" s="186" customFormat="1" ht="15" customHeight="1">
      <c r="A391" s="96">
        <f t="shared" si="79"/>
        <v>300</v>
      </c>
      <c r="B391" s="199" t="s">
        <v>312</v>
      </c>
      <c r="C391" s="92">
        <v>1991</v>
      </c>
      <c r="D391" s="95"/>
      <c r="E391" s="92" t="s">
        <v>411</v>
      </c>
      <c r="F391" s="95">
        <v>9</v>
      </c>
      <c r="G391" s="95">
        <v>4</v>
      </c>
      <c r="H391" s="97">
        <v>9344</v>
      </c>
      <c r="I391" s="97">
        <v>8132</v>
      </c>
      <c r="J391" s="97">
        <v>7684</v>
      </c>
      <c r="K391" s="96">
        <v>325</v>
      </c>
      <c r="L391" s="97">
        <f>'виды работ  (2)'!C390</f>
        <v>14286179</v>
      </c>
      <c r="M391" s="97">
        <v>0</v>
      </c>
      <c r="N391" s="97">
        <v>0</v>
      </c>
      <c r="O391" s="97">
        <v>0</v>
      </c>
      <c r="P391" s="97">
        <f t="shared" si="77"/>
        <v>14286179</v>
      </c>
      <c r="Q391" s="97">
        <f t="shared" si="78"/>
        <v>1528.9147046232877</v>
      </c>
      <c r="R391" s="97">
        <v>42000</v>
      </c>
      <c r="S391" s="55" t="s">
        <v>843</v>
      </c>
      <c r="T391" s="92" t="s">
        <v>773</v>
      </c>
      <c r="X391" s="190"/>
    </row>
    <row r="392" spans="1:24" s="186" customFormat="1" ht="15" customHeight="1">
      <c r="A392" s="117" t="s">
        <v>597</v>
      </c>
      <c r="B392" s="117"/>
      <c r="C392" s="86" t="s">
        <v>430</v>
      </c>
      <c r="D392" s="86" t="s">
        <v>430</v>
      </c>
      <c r="E392" s="86" t="s">
        <v>430</v>
      </c>
      <c r="F392" s="86" t="s">
        <v>430</v>
      </c>
      <c r="G392" s="86" t="s">
        <v>430</v>
      </c>
      <c r="H392" s="97">
        <f>SUM(H367:H391)</f>
        <v>126537</v>
      </c>
      <c r="I392" s="97">
        <f aca="true" t="shared" si="80" ref="I392:P392">SUM(I367:I391)</f>
        <v>107121</v>
      </c>
      <c r="J392" s="97">
        <f t="shared" si="80"/>
        <v>96799</v>
      </c>
      <c r="K392" s="96">
        <f t="shared" si="80"/>
        <v>5138</v>
      </c>
      <c r="L392" s="97">
        <f>SUM(L367:L391)</f>
        <v>47411399</v>
      </c>
      <c r="M392" s="97">
        <f t="shared" si="80"/>
        <v>0</v>
      </c>
      <c r="N392" s="97">
        <f t="shared" si="80"/>
        <v>0</v>
      </c>
      <c r="O392" s="97">
        <f t="shared" si="80"/>
        <v>0</v>
      </c>
      <c r="P392" s="97">
        <f t="shared" si="80"/>
        <v>47411399</v>
      </c>
      <c r="Q392" s="97">
        <f t="shared" si="78"/>
        <v>374.68407659419773</v>
      </c>
      <c r="R392" s="56" t="s">
        <v>430</v>
      </c>
      <c r="S392" s="56" t="s">
        <v>430</v>
      </c>
      <c r="T392" s="56" t="s">
        <v>430</v>
      </c>
      <c r="U392" s="190"/>
      <c r="X392" s="190"/>
    </row>
    <row r="393" spans="1:24" s="43" customFormat="1" ht="15.75" customHeight="1">
      <c r="A393" s="172" t="s">
        <v>748</v>
      </c>
      <c r="B393" s="172"/>
      <c r="C393" s="172"/>
      <c r="D393" s="172"/>
      <c r="E393" s="172"/>
      <c r="F393" s="180"/>
      <c r="G393" s="180"/>
      <c r="H393" s="180"/>
      <c r="I393" s="180"/>
      <c r="J393" s="180"/>
      <c r="K393" s="180"/>
      <c r="L393" s="180"/>
      <c r="M393" s="180"/>
      <c r="N393" s="180"/>
      <c r="O393" s="180"/>
      <c r="P393" s="180"/>
      <c r="Q393" s="180"/>
      <c r="R393" s="180"/>
      <c r="S393" s="180"/>
      <c r="T393" s="180"/>
      <c r="X393" s="190"/>
    </row>
    <row r="394" spans="1:24" s="43" customFormat="1" ht="15">
      <c r="A394" s="72">
        <f>A391+1</f>
        <v>301</v>
      </c>
      <c r="B394" s="88" t="s">
        <v>749</v>
      </c>
      <c r="C394" s="95">
        <v>1966</v>
      </c>
      <c r="D394" s="95"/>
      <c r="E394" s="92" t="s">
        <v>94</v>
      </c>
      <c r="F394" s="95">
        <v>2</v>
      </c>
      <c r="G394" s="95">
        <v>2</v>
      </c>
      <c r="H394" s="97">
        <v>628</v>
      </c>
      <c r="I394" s="97">
        <v>628</v>
      </c>
      <c r="J394" s="97">
        <v>524.4</v>
      </c>
      <c r="K394" s="96">
        <v>42</v>
      </c>
      <c r="L394" s="97">
        <f>'виды работ  (2)'!C393</f>
        <v>556132</v>
      </c>
      <c r="M394" s="86">
        <v>0</v>
      </c>
      <c r="N394" s="86">
        <v>0</v>
      </c>
      <c r="O394" s="86">
        <v>0</v>
      </c>
      <c r="P394" s="86">
        <f>L394</f>
        <v>556132</v>
      </c>
      <c r="Q394" s="86">
        <f>L394/H394</f>
        <v>885.5605095541401</v>
      </c>
      <c r="R394" s="97">
        <v>42000</v>
      </c>
      <c r="S394" s="55" t="s">
        <v>843</v>
      </c>
      <c r="T394" s="92" t="s">
        <v>773</v>
      </c>
      <c r="X394" s="190"/>
    </row>
    <row r="395" spans="1:24" s="43" customFormat="1" ht="15">
      <c r="A395" s="72">
        <f>A394+1</f>
        <v>302</v>
      </c>
      <c r="B395" s="88" t="s">
        <v>750</v>
      </c>
      <c r="C395" s="95">
        <v>1967</v>
      </c>
      <c r="D395" s="95"/>
      <c r="E395" s="92" t="s">
        <v>94</v>
      </c>
      <c r="F395" s="95">
        <v>2</v>
      </c>
      <c r="G395" s="95">
        <v>2</v>
      </c>
      <c r="H395" s="97">
        <v>503.5</v>
      </c>
      <c r="I395" s="97">
        <v>503.5</v>
      </c>
      <c r="J395" s="97">
        <v>191</v>
      </c>
      <c r="K395" s="96">
        <v>24</v>
      </c>
      <c r="L395" s="97">
        <f>'виды работ  (2)'!C394</f>
        <v>528316</v>
      </c>
      <c r="M395" s="86">
        <v>0</v>
      </c>
      <c r="N395" s="86">
        <v>0</v>
      </c>
      <c r="O395" s="86">
        <v>0</v>
      </c>
      <c r="P395" s="86">
        <f>L395</f>
        <v>528316</v>
      </c>
      <c r="Q395" s="86">
        <f>L395/H395</f>
        <v>1049.286991062562</v>
      </c>
      <c r="R395" s="97">
        <v>42000</v>
      </c>
      <c r="S395" s="55" t="s">
        <v>843</v>
      </c>
      <c r="T395" s="92" t="s">
        <v>773</v>
      </c>
      <c r="X395" s="190"/>
    </row>
    <row r="396" spans="1:24" s="43" customFormat="1" ht="15">
      <c r="A396" s="72">
        <f>A395+1</f>
        <v>303</v>
      </c>
      <c r="B396" s="88" t="s">
        <v>751</v>
      </c>
      <c r="C396" s="95">
        <v>1968</v>
      </c>
      <c r="D396" s="95"/>
      <c r="E396" s="92" t="s">
        <v>94</v>
      </c>
      <c r="F396" s="95">
        <v>2</v>
      </c>
      <c r="G396" s="95">
        <v>2</v>
      </c>
      <c r="H396" s="97">
        <v>504.7</v>
      </c>
      <c r="I396" s="97">
        <v>504.7</v>
      </c>
      <c r="J396" s="97">
        <v>329.96</v>
      </c>
      <c r="K396" s="96">
        <v>36</v>
      </c>
      <c r="L396" s="97">
        <f>'виды работ  (2)'!C395</f>
        <v>582407</v>
      </c>
      <c r="M396" s="86">
        <v>0</v>
      </c>
      <c r="N396" s="86">
        <v>0</v>
      </c>
      <c r="O396" s="86">
        <v>0</v>
      </c>
      <c r="P396" s="86">
        <f>L396</f>
        <v>582407</v>
      </c>
      <c r="Q396" s="86">
        <f>L396/H396</f>
        <v>1153.9667128987517</v>
      </c>
      <c r="R396" s="97">
        <v>42000</v>
      </c>
      <c r="S396" s="55" t="s">
        <v>843</v>
      </c>
      <c r="T396" s="92" t="s">
        <v>773</v>
      </c>
      <c r="X396" s="190"/>
    </row>
    <row r="397" spans="1:24" s="43" customFormat="1" ht="15">
      <c r="A397" s="164" t="s">
        <v>597</v>
      </c>
      <c r="B397" s="164"/>
      <c r="C397" s="91" t="s">
        <v>430</v>
      </c>
      <c r="D397" s="91" t="s">
        <v>430</v>
      </c>
      <c r="E397" s="91" t="s">
        <v>430</v>
      </c>
      <c r="F397" s="91" t="s">
        <v>430</v>
      </c>
      <c r="G397" s="91" t="s">
        <v>430</v>
      </c>
      <c r="H397" s="97">
        <f aca="true" t="shared" si="81" ref="H397:P397">SUM(H394:H396)</f>
        <v>1636.2</v>
      </c>
      <c r="I397" s="97">
        <f t="shared" si="81"/>
        <v>1636.2</v>
      </c>
      <c r="J397" s="97">
        <f t="shared" si="81"/>
        <v>1045.36</v>
      </c>
      <c r="K397" s="96">
        <f t="shared" si="81"/>
        <v>102</v>
      </c>
      <c r="L397" s="97">
        <f>SUM(L394:L396)</f>
        <v>1666855</v>
      </c>
      <c r="M397" s="97">
        <f t="shared" si="81"/>
        <v>0</v>
      </c>
      <c r="N397" s="97">
        <f t="shared" si="81"/>
        <v>0</v>
      </c>
      <c r="O397" s="97">
        <f t="shared" si="81"/>
        <v>0</v>
      </c>
      <c r="P397" s="97">
        <f t="shared" si="81"/>
        <v>1666855</v>
      </c>
      <c r="Q397" s="86">
        <f>L397/H397</f>
        <v>1018.7354846595771</v>
      </c>
      <c r="R397" s="56" t="s">
        <v>430</v>
      </c>
      <c r="S397" s="55" t="s">
        <v>430</v>
      </c>
      <c r="T397" s="55" t="s">
        <v>430</v>
      </c>
      <c r="U397" s="190"/>
      <c r="X397" s="190"/>
    </row>
    <row r="398" spans="1:24" s="186" customFormat="1" ht="15" customHeight="1">
      <c r="A398" s="105" t="s">
        <v>684</v>
      </c>
      <c r="B398" s="110"/>
      <c r="C398" s="110"/>
      <c r="D398" s="110"/>
      <c r="E398" s="106"/>
      <c r="F398" s="178"/>
      <c r="G398" s="178"/>
      <c r="H398" s="178"/>
      <c r="I398" s="178"/>
      <c r="J398" s="178"/>
      <c r="K398" s="178"/>
      <c r="L398" s="178"/>
      <c r="M398" s="178"/>
      <c r="N398" s="178"/>
      <c r="O398" s="178"/>
      <c r="P398" s="178"/>
      <c r="Q398" s="178"/>
      <c r="R398" s="178"/>
      <c r="S398" s="178"/>
      <c r="T398" s="178"/>
      <c r="X398" s="190"/>
    </row>
    <row r="399" spans="1:24" s="186" customFormat="1" ht="15" customHeight="1">
      <c r="A399" s="96">
        <f>A396+1</f>
        <v>304</v>
      </c>
      <c r="B399" s="199" t="s">
        <v>314</v>
      </c>
      <c r="C399" s="92">
        <v>1964</v>
      </c>
      <c r="D399" s="95"/>
      <c r="E399" s="92" t="s">
        <v>465</v>
      </c>
      <c r="F399" s="95">
        <v>2</v>
      </c>
      <c r="G399" s="95">
        <v>1</v>
      </c>
      <c r="H399" s="97">
        <v>322.4</v>
      </c>
      <c r="I399" s="97">
        <v>322.4</v>
      </c>
      <c r="J399" s="97">
        <v>322.4</v>
      </c>
      <c r="K399" s="96">
        <v>16</v>
      </c>
      <c r="L399" s="97">
        <f>'виды работ  (2)'!C398</f>
        <v>682822</v>
      </c>
      <c r="M399" s="97">
        <v>0</v>
      </c>
      <c r="N399" s="97">
        <v>0</v>
      </c>
      <c r="O399" s="97">
        <v>0</v>
      </c>
      <c r="P399" s="97">
        <f>L399</f>
        <v>682822</v>
      </c>
      <c r="Q399" s="97">
        <f>L399/H399</f>
        <v>2117.934243176179</v>
      </c>
      <c r="R399" s="97">
        <v>42000</v>
      </c>
      <c r="S399" s="55" t="s">
        <v>843</v>
      </c>
      <c r="T399" s="92" t="s">
        <v>773</v>
      </c>
      <c r="X399" s="190"/>
    </row>
    <row r="400" spans="1:24" s="43" customFormat="1" ht="15">
      <c r="A400" s="96">
        <f>A399+1</f>
        <v>305</v>
      </c>
      <c r="B400" s="88" t="s">
        <v>752</v>
      </c>
      <c r="C400" s="95">
        <v>1971</v>
      </c>
      <c r="D400" s="95"/>
      <c r="E400" s="92" t="s">
        <v>94</v>
      </c>
      <c r="F400" s="95">
        <v>2</v>
      </c>
      <c r="G400" s="95">
        <v>2</v>
      </c>
      <c r="H400" s="97">
        <v>523.1</v>
      </c>
      <c r="I400" s="97">
        <v>523.1</v>
      </c>
      <c r="J400" s="97">
        <v>490.4</v>
      </c>
      <c r="K400" s="96">
        <v>13</v>
      </c>
      <c r="L400" s="97">
        <f>'виды работ  (2)'!C399</f>
        <v>520418</v>
      </c>
      <c r="M400" s="86">
        <v>0</v>
      </c>
      <c r="N400" s="86">
        <v>0</v>
      </c>
      <c r="O400" s="86">
        <v>0</v>
      </c>
      <c r="P400" s="86">
        <f>L400</f>
        <v>520418</v>
      </c>
      <c r="Q400" s="86">
        <f>L400/H400</f>
        <v>994.8728732555916</v>
      </c>
      <c r="R400" s="97">
        <v>42000</v>
      </c>
      <c r="S400" s="55" t="s">
        <v>843</v>
      </c>
      <c r="T400" s="92" t="s">
        <v>773</v>
      </c>
      <c r="X400" s="190"/>
    </row>
    <row r="401" spans="1:24" s="186" customFormat="1" ht="15" customHeight="1">
      <c r="A401" s="117" t="s">
        <v>597</v>
      </c>
      <c r="B401" s="117"/>
      <c r="C401" s="86" t="s">
        <v>430</v>
      </c>
      <c r="D401" s="86" t="s">
        <v>430</v>
      </c>
      <c r="E401" s="86" t="s">
        <v>430</v>
      </c>
      <c r="F401" s="86" t="s">
        <v>430</v>
      </c>
      <c r="G401" s="86" t="s">
        <v>430</v>
      </c>
      <c r="H401" s="97">
        <f>SUM(H399:H400)</f>
        <v>845.5</v>
      </c>
      <c r="I401" s="97">
        <f aca="true" t="shared" si="82" ref="I401:P401">SUM(I399:I400)</f>
        <v>845.5</v>
      </c>
      <c r="J401" s="97">
        <f t="shared" si="82"/>
        <v>812.8</v>
      </c>
      <c r="K401" s="96">
        <f t="shared" si="82"/>
        <v>29</v>
      </c>
      <c r="L401" s="97">
        <f t="shared" si="82"/>
        <v>1203240</v>
      </c>
      <c r="M401" s="97">
        <f t="shared" si="82"/>
        <v>0</v>
      </c>
      <c r="N401" s="97">
        <f t="shared" si="82"/>
        <v>0</v>
      </c>
      <c r="O401" s="97">
        <f t="shared" si="82"/>
        <v>0</v>
      </c>
      <c r="P401" s="97">
        <f t="shared" si="82"/>
        <v>1203240</v>
      </c>
      <c r="Q401" s="97">
        <f>L401/H401</f>
        <v>1423.110585452395</v>
      </c>
      <c r="R401" s="56" t="s">
        <v>430</v>
      </c>
      <c r="S401" s="56" t="s">
        <v>430</v>
      </c>
      <c r="T401" s="56" t="s">
        <v>430</v>
      </c>
      <c r="U401" s="190"/>
      <c r="X401" s="190"/>
    </row>
    <row r="402" spans="1:24" s="186" customFormat="1" ht="15" customHeight="1">
      <c r="A402" s="140" t="s">
        <v>629</v>
      </c>
      <c r="B402" s="140"/>
      <c r="C402" s="140"/>
      <c r="D402" s="81" t="s">
        <v>430</v>
      </c>
      <c r="E402" s="81" t="s">
        <v>430</v>
      </c>
      <c r="F402" s="81" t="s">
        <v>430</v>
      </c>
      <c r="G402" s="81" t="s">
        <v>430</v>
      </c>
      <c r="H402" s="97">
        <f>H392+H397+H401</f>
        <v>129018.7</v>
      </c>
      <c r="I402" s="97">
        <f aca="true" t="shared" si="83" ref="I402:P402">I392+I397+I401</f>
        <v>109602.7</v>
      </c>
      <c r="J402" s="97">
        <f t="shared" si="83"/>
        <v>98657.16</v>
      </c>
      <c r="K402" s="96">
        <f t="shared" si="83"/>
        <v>5269</v>
      </c>
      <c r="L402" s="97">
        <f t="shared" si="83"/>
        <v>50281494</v>
      </c>
      <c r="M402" s="97">
        <f t="shared" si="83"/>
        <v>0</v>
      </c>
      <c r="N402" s="97">
        <f t="shared" si="83"/>
        <v>0</v>
      </c>
      <c r="O402" s="97">
        <f t="shared" si="83"/>
        <v>0</v>
      </c>
      <c r="P402" s="97">
        <f t="shared" si="83"/>
        <v>50281494</v>
      </c>
      <c r="Q402" s="97">
        <f>L402/H402</f>
        <v>389.7225285946921</v>
      </c>
      <c r="R402" s="56" t="s">
        <v>430</v>
      </c>
      <c r="S402" s="56" t="s">
        <v>430</v>
      </c>
      <c r="T402" s="56" t="s">
        <v>430</v>
      </c>
      <c r="U402" s="190"/>
      <c r="X402" s="190"/>
    </row>
    <row r="403" spans="1:24" s="186" customFormat="1" ht="15">
      <c r="A403" s="178" t="s">
        <v>845</v>
      </c>
      <c r="B403" s="178"/>
      <c r="C403" s="178"/>
      <c r="D403" s="178"/>
      <c r="E403" s="178"/>
      <c r="F403" s="178"/>
      <c r="G403" s="178"/>
      <c r="H403" s="178"/>
      <c r="I403" s="178"/>
      <c r="J403" s="178"/>
      <c r="K403" s="178"/>
      <c r="L403" s="178"/>
      <c r="M403" s="178"/>
      <c r="N403" s="178"/>
      <c r="O403" s="178"/>
      <c r="P403" s="178"/>
      <c r="Q403" s="178"/>
      <c r="R403" s="178"/>
      <c r="S403" s="178"/>
      <c r="T403" s="178"/>
      <c r="X403" s="190"/>
    </row>
    <row r="404" spans="1:24" s="186" customFormat="1" ht="15">
      <c r="A404" s="123" t="s">
        <v>685</v>
      </c>
      <c r="B404" s="123"/>
      <c r="C404" s="199"/>
      <c r="D404" s="188"/>
      <c r="E404" s="188"/>
      <c r="F404" s="178"/>
      <c r="G404" s="178"/>
      <c r="H404" s="178"/>
      <c r="I404" s="178"/>
      <c r="J404" s="178"/>
      <c r="K404" s="178"/>
      <c r="L404" s="178"/>
      <c r="M404" s="178"/>
      <c r="N404" s="178"/>
      <c r="O404" s="178"/>
      <c r="P404" s="178"/>
      <c r="Q404" s="178"/>
      <c r="R404" s="178"/>
      <c r="S404" s="178"/>
      <c r="T404" s="178"/>
      <c r="X404" s="190"/>
    </row>
    <row r="405" spans="1:24" s="186" customFormat="1" ht="15">
      <c r="A405" s="10">
        <f>A400+1</f>
        <v>306</v>
      </c>
      <c r="B405" s="13" t="s">
        <v>315</v>
      </c>
      <c r="C405" s="92">
        <v>1972</v>
      </c>
      <c r="D405" s="95"/>
      <c r="E405" s="92" t="s">
        <v>411</v>
      </c>
      <c r="F405" s="95">
        <v>5</v>
      </c>
      <c r="G405" s="95">
        <v>6</v>
      </c>
      <c r="H405" s="97">
        <v>5506.03</v>
      </c>
      <c r="I405" s="97">
        <v>4408.21</v>
      </c>
      <c r="J405" s="97">
        <v>3901.83</v>
      </c>
      <c r="K405" s="96">
        <v>242</v>
      </c>
      <c r="L405" s="97">
        <f>'виды работ  (2)'!C404</f>
        <v>2857628</v>
      </c>
      <c r="M405" s="97">
        <v>0</v>
      </c>
      <c r="N405" s="97">
        <v>0</v>
      </c>
      <c r="O405" s="97">
        <v>0</v>
      </c>
      <c r="P405" s="97">
        <f>L405</f>
        <v>2857628</v>
      </c>
      <c r="Q405" s="97">
        <f>L405/H405</f>
        <v>518.9997148580738</v>
      </c>
      <c r="R405" s="97">
        <v>42000</v>
      </c>
      <c r="S405" s="55" t="s">
        <v>843</v>
      </c>
      <c r="T405" s="92" t="s">
        <v>773</v>
      </c>
      <c r="X405" s="190"/>
    </row>
    <row r="406" spans="1:24" s="186" customFormat="1" ht="15">
      <c r="A406" s="10">
        <f>A405+1</f>
        <v>307</v>
      </c>
      <c r="B406" s="13" t="s">
        <v>316</v>
      </c>
      <c r="C406" s="92">
        <v>1956</v>
      </c>
      <c r="D406" s="95"/>
      <c r="E406" s="92" t="s">
        <v>94</v>
      </c>
      <c r="F406" s="95">
        <v>2</v>
      </c>
      <c r="G406" s="95">
        <v>2</v>
      </c>
      <c r="H406" s="97">
        <v>781.85</v>
      </c>
      <c r="I406" s="97">
        <v>721</v>
      </c>
      <c r="J406" s="97">
        <v>634.92</v>
      </c>
      <c r="K406" s="96">
        <v>35</v>
      </c>
      <c r="L406" s="97">
        <f>'виды работ  (2)'!C405</f>
        <v>1106892</v>
      </c>
      <c r="M406" s="97">
        <v>0</v>
      </c>
      <c r="N406" s="97">
        <v>0</v>
      </c>
      <c r="O406" s="97">
        <v>0</v>
      </c>
      <c r="P406" s="97">
        <f>L406</f>
        <v>1106892</v>
      </c>
      <c r="Q406" s="97">
        <f>L406/H406</f>
        <v>1415.7344759224916</v>
      </c>
      <c r="R406" s="97">
        <v>42000</v>
      </c>
      <c r="S406" s="55" t="s">
        <v>843</v>
      </c>
      <c r="T406" s="92" t="s">
        <v>773</v>
      </c>
      <c r="X406" s="190"/>
    </row>
    <row r="407" spans="1:24" s="186" customFormat="1" ht="15">
      <c r="A407" s="10">
        <f aca="true" t="shared" si="84" ref="A407:A426">A406+1</f>
        <v>308</v>
      </c>
      <c r="B407" s="13" t="s">
        <v>317</v>
      </c>
      <c r="C407" s="92">
        <v>1959</v>
      </c>
      <c r="D407" s="95"/>
      <c r="E407" s="92" t="s">
        <v>94</v>
      </c>
      <c r="F407" s="95">
        <v>3</v>
      </c>
      <c r="G407" s="95">
        <v>3</v>
      </c>
      <c r="H407" s="97">
        <v>1609.64</v>
      </c>
      <c r="I407" s="97">
        <v>1501.12</v>
      </c>
      <c r="J407" s="97">
        <v>1344.5</v>
      </c>
      <c r="K407" s="96">
        <v>67</v>
      </c>
      <c r="L407" s="97">
        <f>'виды работ  (2)'!C406</f>
        <v>1582938</v>
      </c>
      <c r="M407" s="97">
        <v>0</v>
      </c>
      <c r="N407" s="97">
        <v>0</v>
      </c>
      <c r="O407" s="97">
        <v>0</v>
      </c>
      <c r="P407" s="97">
        <f aca="true" t="shared" si="85" ref="P407:P426">L407</f>
        <v>1582938</v>
      </c>
      <c r="Q407" s="97">
        <f aca="true" t="shared" si="86" ref="Q407:Q426">L407/H407</f>
        <v>983.4111975348525</v>
      </c>
      <c r="R407" s="97">
        <v>42000</v>
      </c>
      <c r="S407" s="55" t="s">
        <v>843</v>
      </c>
      <c r="T407" s="92" t="s">
        <v>773</v>
      </c>
      <c r="X407" s="190"/>
    </row>
    <row r="408" spans="1:24" s="186" customFormat="1" ht="15">
      <c r="A408" s="10">
        <f t="shared" si="84"/>
        <v>309</v>
      </c>
      <c r="B408" s="13" t="s">
        <v>318</v>
      </c>
      <c r="C408" s="92">
        <v>1951</v>
      </c>
      <c r="D408" s="95"/>
      <c r="E408" s="92" t="s">
        <v>700</v>
      </c>
      <c r="F408" s="95">
        <v>2</v>
      </c>
      <c r="G408" s="95">
        <v>2</v>
      </c>
      <c r="H408" s="97">
        <v>704.06</v>
      </c>
      <c r="I408" s="97">
        <v>628.27</v>
      </c>
      <c r="J408" s="97">
        <v>572.1</v>
      </c>
      <c r="K408" s="96">
        <v>26</v>
      </c>
      <c r="L408" s="97">
        <f>'виды работ  (2)'!C407</f>
        <v>2428748</v>
      </c>
      <c r="M408" s="97">
        <v>0</v>
      </c>
      <c r="N408" s="97">
        <v>0</v>
      </c>
      <c r="O408" s="97">
        <v>0</v>
      </c>
      <c r="P408" s="97">
        <f t="shared" si="85"/>
        <v>2428748</v>
      </c>
      <c r="Q408" s="97">
        <f t="shared" si="86"/>
        <v>3449.6321336249753</v>
      </c>
      <c r="R408" s="97">
        <v>42000</v>
      </c>
      <c r="S408" s="55" t="s">
        <v>843</v>
      </c>
      <c r="T408" s="92" t="s">
        <v>773</v>
      </c>
      <c r="X408" s="190"/>
    </row>
    <row r="409" spans="1:24" s="186" customFormat="1" ht="15">
      <c r="A409" s="10">
        <f t="shared" si="84"/>
        <v>310</v>
      </c>
      <c r="B409" s="13" t="s">
        <v>319</v>
      </c>
      <c r="C409" s="73">
        <v>1950</v>
      </c>
      <c r="D409" s="74"/>
      <c r="E409" s="92" t="s">
        <v>700</v>
      </c>
      <c r="F409" s="74">
        <v>2</v>
      </c>
      <c r="G409" s="73">
        <v>2</v>
      </c>
      <c r="H409" s="75">
        <v>686.8</v>
      </c>
      <c r="I409" s="75">
        <v>610.53</v>
      </c>
      <c r="J409" s="75">
        <v>504.5</v>
      </c>
      <c r="K409" s="76">
        <v>39</v>
      </c>
      <c r="L409" s="97">
        <f>'виды работ  (2)'!C408</f>
        <v>2425167</v>
      </c>
      <c r="M409" s="97">
        <v>0</v>
      </c>
      <c r="N409" s="97">
        <v>0</v>
      </c>
      <c r="O409" s="97">
        <v>0</v>
      </c>
      <c r="P409" s="97">
        <f t="shared" si="85"/>
        <v>2425167</v>
      </c>
      <c r="Q409" s="97">
        <f t="shared" si="86"/>
        <v>3531.1109493302274</v>
      </c>
      <c r="R409" s="97">
        <v>42000</v>
      </c>
      <c r="S409" s="55" t="s">
        <v>843</v>
      </c>
      <c r="T409" s="92" t="s">
        <v>773</v>
      </c>
      <c r="X409" s="190"/>
    </row>
    <row r="410" spans="1:24" s="186" customFormat="1" ht="15">
      <c r="A410" s="10">
        <f t="shared" si="84"/>
        <v>311</v>
      </c>
      <c r="B410" s="13" t="s">
        <v>320</v>
      </c>
      <c r="C410" s="73">
        <v>1951</v>
      </c>
      <c r="D410" s="74"/>
      <c r="E410" s="92" t="s">
        <v>700</v>
      </c>
      <c r="F410" s="74">
        <v>2</v>
      </c>
      <c r="G410" s="73">
        <v>2</v>
      </c>
      <c r="H410" s="75">
        <v>657.38</v>
      </c>
      <c r="I410" s="75">
        <v>600.55</v>
      </c>
      <c r="J410" s="75">
        <v>519.15</v>
      </c>
      <c r="K410" s="76">
        <v>38</v>
      </c>
      <c r="L410" s="97">
        <f>'виды работ  (2)'!C409</f>
        <v>2447877</v>
      </c>
      <c r="M410" s="97">
        <v>0</v>
      </c>
      <c r="N410" s="97">
        <v>0</v>
      </c>
      <c r="O410" s="97">
        <v>0</v>
      </c>
      <c r="P410" s="97">
        <f t="shared" si="85"/>
        <v>2447877</v>
      </c>
      <c r="Q410" s="97">
        <f t="shared" si="86"/>
        <v>3723.686452280264</v>
      </c>
      <c r="R410" s="97">
        <v>42000</v>
      </c>
      <c r="S410" s="55" t="s">
        <v>843</v>
      </c>
      <c r="T410" s="92" t="s">
        <v>773</v>
      </c>
      <c r="X410" s="190"/>
    </row>
    <row r="411" spans="1:24" s="186" customFormat="1" ht="15">
      <c r="A411" s="10">
        <f t="shared" si="84"/>
        <v>312</v>
      </c>
      <c r="B411" s="13" t="s">
        <v>321</v>
      </c>
      <c r="C411" s="92">
        <v>1950</v>
      </c>
      <c r="D411" s="95"/>
      <c r="E411" s="92" t="s">
        <v>700</v>
      </c>
      <c r="F411" s="95">
        <v>2</v>
      </c>
      <c r="G411" s="95">
        <v>2</v>
      </c>
      <c r="H411" s="97">
        <v>667.25</v>
      </c>
      <c r="I411" s="97">
        <v>618.67</v>
      </c>
      <c r="J411" s="97">
        <v>401.06</v>
      </c>
      <c r="K411" s="96">
        <v>41</v>
      </c>
      <c r="L411" s="97">
        <f>'виды работ  (2)'!C410</f>
        <v>2409300</v>
      </c>
      <c r="M411" s="97">
        <v>0</v>
      </c>
      <c r="N411" s="97">
        <v>0</v>
      </c>
      <c r="O411" s="97">
        <v>0</v>
      </c>
      <c r="P411" s="97">
        <f t="shared" si="85"/>
        <v>2409300</v>
      </c>
      <c r="Q411" s="97">
        <f t="shared" si="86"/>
        <v>3610.7905582615213</v>
      </c>
      <c r="R411" s="97">
        <v>42000</v>
      </c>
      <c r="S411" s="55" t="s">
        <v>843</v>
      </c>
      <c r="T411" s="92" t="s">
        <v>773</v>
      </c>
      <c r="X411" s="190"/>
    </row>
    <row r="412" spans="1:24" s="186" customFormat="1" ht="15">
      <c r="A412" s="10">
        <f t="shared" si="84"/>
        <v>313</v>
      </c>
      <c r="B412" s="13" t="s">
        <v>322</v>
      </c>
      <c r="C412" s="92">
        <v>1948</v>
      </c>
      <c r="D412" s="95"/>
      <c r="E412" s="92" t="s">
        <v>700</v>
      </c>
      <c r="F412" s="95">
        <v>2</v>
      </c>
      <c r="G412" s="95">
        <v>2</v>
      </c>
      <c r="H412" s="97">
        <v>777.59</v>
      </c>
      <c r="I412" s="97">
        <v>703.62</v>
      </c>
      <c r="J412" s="97">
        <v>561.72</v>
      </c>
      <c r="K412" s="96">
        <v>18</v>
      </c>
      <c r="L412" s="97">
        <f>'виды работ  (2)'!C411</f>
        <v>2291958</v>
      </c>
      <c r="M412" s="97">
        <v>0</v>
      </c>
      <c r="N412" s="97">
        <v>0</v>
      </c>
      <c r="O412" s="97">
        <v>0</v>
      </c>
      <c r="P412" s="97">
        <f t="shared" si="85"/>
        <v>2291958</v>
      </c>
      <c r="Q412" s="97">
        <f t="shared" si="86"/>
        <v>2947.5147571342222</v>
      </c>
      <c r="R412" s="97">
        <v>42000</v>
      </c>
      <c r="S412" s="55" t="s">
        <v>843</v>
      </c>
      <c r="T412" s="92" t="s">
        <v>773</v>
      </c>
      <c r="X412" s="190"/>
    </row>
    <row r="413" spans="1:24" s="186" customFormat="1" ht="15">
      <c r="A413" s="10">
        <f t="shared" si="84"/>
        <v>314</v>
      </c>
      <c r="B413" s="13" t="s">
        <v>332</v>
      </c>
      <c r="C413" s="92">
        <v>1951</v>
      </c>
      <c r="D413" s="95"/>
      <c r="E413" s="92" t="s">
        <v>94</v>
      </c>
      <c r="F413" s="95">
        <v>2</v>
      </c>
      <c r="G413" s="95">
        <v>2</v>
      </c>
      <c r="H413" s="97">
        <v>769.79</v>
      </c>
      <c r="I413" s="97">
        <v>707.3</v>
      </c>
      <c r="J413" s="97">
        <v>601.38</v>
      </c>
      <c r="K413" s="96">
        <v>39</v>
      </c>
      <c r="L413" s="97">
        <f>'виды работ  (2)'!C412</f>
        <v>114495</v>
      </c>
      <c r="M413" s="97">
        <v>0</v>
      </c>
      <c r="N413" s="97">
        <v>0</v>
      </c>
      <c r="O413" s="97">
        <v>0</v>
      </c>
      <c r="P413" s="97">
        <f t="shared" si="85"/>
        <v>114495</v>
      </c>
      <c r="Q413" s="97">
        <f t="shared" si="86"/>
        <v>148.73536938645606</v>
      </c>
      <c r="R413" s="97">
        <v>42000</v>
      </c>
      <c r="S413" s="55" t="s">
        <v>843</v>
      </c>
      <c r="T413" s="92" t="s">
        <v>773</v>
      </c>
      <c r="X413" s="190"/>
    </row>
    <row r="414" spans="1:24" s="186" customFormat="1" ht="15">
      <c r="A414" s="10">
        <f t="shared" si="84"/>
        <v>315</v>
      </c>
      <c r="B414" s="13" t="s">
        <v>330</v>
      </c>
      <c r="C414" s="92">
        <v>1951</v>
      </c>
      <c r="D414" s="95"/>
      <c r="E414" s="92" t="s">
        <v>94</v>
      </c>
      <c r="F414" s="95">
        <v>2</v>
      </c>
      <c r="G414" s="95">
        <v>2</v>
      </c>
      <c r="H414" s="97">
        <v>768.62</v>
      </c>
      <c r="I414" s="97">
        <v>707.18</v>
      </c>
      <c r="J414" s="97">
        <v>465.61</v>
      </c>
      <c r="K414" s="96">
        <v>35</v>
      </c>
      <c r="L414" s="97">
        <f>'виды работ  (2)'!C413</f>
        <v>3392689</v>
      </c>
      <c r="M414" s="97">
        <v>0</v>
      </c>
      <c r="N414" s="97">
        <v>0</v>
      </c>
      <c r="O414" s="97">
        <v>0</v>
      </c>
      <c r="P414" s="97">
        <f t="shared" si="85"/>
        <v>3392689</v>
      </c>
      <c r="Q414" s="97">
        <f t="shared" si="86"/>
        <v>4414.000416330567</v>
      </c>
      <c r="R414" s="97">
        <v>42000</v>
      </c>
      <c r="S414" s="55" t="s">
        <v>843</v>
      </c>
      <c r="T414" s="92" t="s">
        <v>773</v>
      </c>
      <c r="X414" s="190"/>
    </row>
    <row r="415" spans="1:24" s="186" customFormat="1" ht="15">
      <c r="A415" s="10">
        <f t="shared" si="84"/>
        <v>316</v>
      </c>
      <c r="B415" s="13" t="s">
        <v>323</v>
      </c>
      <c r="C415" s="92">
        <v>1953</v>
      </c>
      <c r="D415" s="95"/>
      <c r="E415" s="92" t="s">
        <v>94</v>
      </c>
      <c r="F415" s="95">
        <v>2</v>
      </c>
      <c r="G415" s="95">
        <v>1</v>
      </c>
      <c r="H415" s="97">
        <v>640.75</v>
      </c>
      <c r="I415" s="97">
        <v>421.95</v>
      </c>
      <c r="J415" s="97">
        <v>421.95</v>
      </c>
      <c r="K415" s="96">
        <v>23</v>
      </c>
      <c r="L415" s="97">
        <f>'виды работ  (2)'!C414</f>
        <v>646237</v>
      </c>
      <c r="M415" s="97">
        <v>0</v>
      </c>
      <c r="N415" s="97">
        <v>0</v>
      </c>
      <c r="O415" s="97">
        <v>0</v>
      </c>
      <c r="P415" s="97">
        <f t="shared" si="85"/>
        <v>646237</v>
      </c>
      <c r="Q415" s="97">
        <f t="shared" si="86"/>
        <v>1008.5634022629731</v>
      </c>
      <c r="R415" s="97">
        <v>42000</v>
      </c>
      <c r="S415" s="55" t="s">
        <v>843</v>
      </c>
      <c r="T415" s="92" t="s">
        <v>773</v>
      </c>
      <c r="X415" s="190"/>
    </row>
    <row r="416" spans="1:24" s="186" customFormat="1" ht="15">
      <c r="A416" s="10">
        <f t="shared" si="84"/>
        <v>317</v>
      </c>
      <c r="B416" s="13" t="s">
        <v>331</v>
      </c>
      <c r="C416" s="92">
        <v>1990</v>
      </c>
      <c r="D416" s="95"/>
      <c r="E416" s="92" t="s">
        <v>411</v>
      </c>
      <c r="F416" s="95">
        <v>9</v>
      </c>
      <c r="G416" s="95">
        <v>1</v>
      </c>
      <c r="H416" s="97">
        <v>2275.02</v>
      </c>
      <c r="I416" s="97">
        <v>2071.06</v>
      </c>
      <c r="J416" s="97">
        <v>1942.46</v>
      </c>
      <c r="K416" s="96">
        <v>94</v>
      </c>
      <c r="L416" s="97">
        <f>'виды работ  (2)'!C415</f>
        <v>3355804</v>
      </c>
      <c r="M416" s="97">
        <v>0</v>
      </c>
      <c r="N416" s="97">
        <v>0</v>
      </c>
      <c r="O416" s="97">
        <v>0</v>
      </c>
      <c r="P416" s="97">
        <f t="shared" si="85"/>
        <v>3355804</v>
      </c>
      <c r="Q416" s="97">
        <f t="shared" si="86"/>
        <v>1475.0657137080113</v>
      </c>
      <c r="R416" s="97">
        <v>42000</v>
      </c>
      <c r="S416" s="55" t="s">
        <v>843</v>
      </c>
      <c r="T416" s="92" t="s">
        <v>773</v>
      </c>
      <c r="X416" s="190"/>
    </row>
    <row r="417" spans="1:24" s="186" customFormat="1" ht="15">
      <c r="A417" s="10">
        <f t="shared" si="84"/>
        <v>318</v>
      </c>
      <c r="B417" s="13" t="s">
        <v>324</v>
      </c>
      <c r="C417" s="92">
        <v>1980</v>
      </c>
      <c r="D417" s="95"/>
      <c r="E417" s="92" t="s">
        <v>411</v>
      </c>
      <c r="F417" s="95">
        <v>5</v>
      </c>
      <c r="G417" s="95">
        <v>8</v>
      </c>
      <c r="H417" s="97">
        <v>6938.6</v>
      </c>
      <c r="I417" s="97">
        <v>6129.6</v>
      </c>
      <c r="J417" s="97">
        <v>6129.6</v>
      </c>
      <c r="K417" s="96">
        <v>250</v>
      </c>
      <c r="L417" s="97">
        <f>'виды работ  (2)'!C416</f>
        <v>299365</v>
      </c>
      <c r="M417" s="97">
        <v>0</v>
      </c>
      <c r="N417" s="97">
        <v>0</v>
      </c>
      <c r="O417" s="97">
        <v>0</v>
      </c>
      <c r="P417" s="97">
        <f t="shared" si="85"/>
        <v>299365</v>
      </c>
      <c r="Q417" s="97">
        <f t="shared" si="86"/>
        <v>43.14487072320064</v>
      </c>
      <c r="R417" s="97">
        <v>42000</v>
      </c>
      <c r="S417" s="55" t="s">
        <v>843</v>
      </c>
      <c r="T417" s="92" t="s">
        <v>773</v>
      </c>
      <c r="X417" s="190"/>
    </row>
    <row r="418" spans="1:24" s="186" customFormat="1" ht="15">
      <c r="A418" s="10">
        <f t="shared" si="84"/>
        <v>319</v>
      </c>
      <c r="B418" s="13" t="s">
        <v>325</v>
      </c>
      <c r="C418" s="92">
        <v>1933</v>
      </c>
      <c r="D418" s="95"/>
      <c r="E418" s="92" t="s">
        <v>700</v>
      </c>
      <c r="F418" s="95">
        <v>4</v>
      </c>
      <c r="G418" s="95">
        <v>6</v>
      </c>
      <c r="H418" s="97">
        <v>3678.1</v>
      </c>
      <c r="I418" s="97">
        <v>3234.1</v>
      </c>
      <c r="J418" s="97">
        <v>2841.33</v>
      </c>
      <c r="K418" s="96">
        <v>120</v>
      </c>
      <c r="L418" s="97">
        <f>'виды работ  (2)'!C417</f>
        <v>7930327</v>
      </c>
      <c r="M418" s="97">
        <v>0</v>
      </c>
      <c r="N418" s="97">
        <v>0</v>
      </c>
      <c r="O418" s="97">
        <v>0</v>
      </c>
      <c r="P418" s="97">
        <f t="shared" si="85"/>
        <v>7930327</v>
      </c>
      <c r="Q418" s="97">
        <f t="shared" si="86"/>
        <v>2156.0933634213316</v>
      </c>
      <c r="R418" s="97">
        <v>42000</v>
      </c>
      <c r="S418" s="55" t="s">
        <v>843</v>
      </c>
      <c r="T418" s="92" t="s">
        <v>773</v>
      </c>
      <c r="X418" s="190"/>
    </row>
    <row r="419" spans="1:24" s="186" customFormat="1" ht="15">
      <c r="A419" s="10">
        <f t="shared" si="84"/>
        <v>320</v>
      </c>
      <c r="B419" s="13" t="s">
        <v>326</v>
      </c>
      <c r="C419" s="92">
        <v>1950</v>
      </c>
      <c r="D419" s="95"/>
      <c r="E419" s="92" t="s">
        <v>700</v>
      </c>
      <c r="F419" s="95">
        <v>2</v>
      </c>
      <c r="G419" s="95">
        <v>1</v>
      </c>
      <c r="H419" s="97">
        <v>685.52</v>
      </c>
      <c r="I419" s="97">
        <v>624.84</v>
      </c>
      <c r="J419" s="97">
        <v>421.09</v>
      </c>
      <c r="K419" s="96">
        <v>27</v>
      </c>
      <c r="L419" s="97">
        <f>'виды работ  (2)'!C418</f>
        <v>2562825</v>
      </c>
      <c r="M419" s="97">
        <v>0</v>
      </c>
      <c r="N419" s="97">
        <v>0</v>
      </c>
      <c r="O419" s="97">
        <v>0</v>
      </c>
      <c r="P419" s="97">
        <f t="shared" si="85"/>
        <v>2562825</v>
      </c>
      <c r="Q419" s="97">
        <f t="shared" si="86"/>
        <v>3738.512370171549</v>
      </c>
      <c r="R419" s="97">
        <v>42000</v>
      </c>
      <c r="S419" s="55" t="s">
        <v>843</v>
      </c>
      <c r="T419" s="92" t="s">
        <v>773</v>
      </c>
      <c r="X419" s="190"/>
    </row>
    <row r="420" spans="1:24" s="43" customFormat="1" ht="15">
      <c r="A420" s="10">
        <f t="shared" si="84"/>
        <v>321</v>
      </c>
      <c r="B420" s="59" t="s">
        <v>753</v>
      </c>
      <c r="C420" s="92">
        <v>1933</v>
      </c>
      <c r="D420" s="92"/>
      <c r="E420" s="92" t="s">
        <v>700</v>
      </c>
      <c r="F420" s="92">
        <v>4</v>
      </c>
      <c r="G420" s="92">
        <v>6</v>
      </c>
      <c r="H420" s="86">
        <v>3706.16</v>
      </c>
      <c r="I420" s="86">
        <v>3264.06</v>
      </c>
      <c r="J420" s="86">
        <v>2640.04</v>
      </c>
      <c r="K420" s="10">
        <v>161</v>
      </c>
      <c r="L420" s="97">
        <f>'виды работ  (2)'!C419</f>
        <v>6488034</v>
      </c>
      <c r="M420" s="97">
        <v>0</v>
      </c>
      <c r="N420" s="97">
        <v>0</v>
      </c>
      <c r="O420" s="97">
        <v>0</v>
      </c>
      <c r="P420" s="97">
        <f t="shared" si="85"/>
        <v>6488034</v>
      </c>
      <c r="Q420" s="97">
        <f t="shared" si="86"/>
        <v>1750.608176657241</v>
      </c>
      <c r="R420" s="97">
        <v>42000</v>
      </c>
      <c r="S420" s="55" t="s">
        <v>843</v>
      </c>
      <c r="T420" s="92" t="s">
        <v>773</v>
      </c>
      <c r="X420" s="190"/>
    </row>
    <row r="421" spans="1:24" s="186" customFormat="1" ht="15">
      <c r="A421" s="10">
        <f t="shared" si="84"/>
        <v>322</v>
      </c>
      <c r="B421" s="13" t="s">
        <v>333</v>
      </c>
      <c r="C421" s="92">
        <v>1959</v>
      </c>
      <c r="D421" s="95"/>
      <c r="E421" s="92" t="s">
        <v>94</v>
      </c>
      <c r="F421" s="95">
        <v>3</v>
      </c>
      <c r="G421" s="95">
        <v>3</v>
      </c>
      <c r="H421" s="97">
        <v>1626.9</v>
      </c>
      <c r="I421" s="97">
        <v>1494.87</v>
      </c>
      <c r="J421" s="97">
        <v>1328.15</v>
      </c>
      <c r="K421" s="96">
        <v>72</v>
      </c>
      <c r="L421" s="97">
        <f>'виды работ  (2)'!C420</f>
        <v>3160069</v>
      </c>
      <c r="M421" s="97">
        <v>0</v>
      </c>
      <c r="N421" s="97">
        <v>0</v>
      </c>
      <c r="O421" s="97">
        <v>0</v>
      </c>
      <c r="P421" s="97">
        <f t="shared" si="85"/>
        <v>3160069</v>
      </c>
      <c r="Q421" s="97">
        <f t="shared" si="86"/>
        <v>1942.3867478025693</v>
      </c>
      <c r="R421" s="97">
        <v>42000</v>
      </c>
      <c r="S421" s="55" t="s">
        <v>843</v>
      </c>
      <c r="T421" s="92" t="s">
        <v>773</v>
      </c>
      <c r="X421" s="190"/>
    </row>
    <row r="422" spans="1:24" s="43" customFormat="1" ht="15">
      <c r="A422" s="10">
        <f t="shared" si="84"/>
        <v>323</v>
      </c>
      <c r="B422" s="88" t="s">
        <v>327</v>
      </c>
      <c r="C422" s="92">
        <v>1960</v>
      </c>
      <c r="D422" s="92"/>
      <c r="E422" s="92" t="s">
        <v>94</v>
      </c>
      <c r="F422" s="92">
        <v>3</v>
      </c>
      <c r="G422" s="92">
        <v>3</v>
      </c>
      <c r="H422" s="86">
        <v>1641.5</v>
      </c>
      <c r="I422" s="86">
        <v>1529.45</v>
      </c>
      <c r="J422" s="86">
        <v>1201.56</v>
      </c>
      <c r="K422" s="10">
        <v>79</v>
      </c>
      <c r="L422" s="97">
        <f>'виды работ  (2)'!C421</f>
        <v>2063682</v>
      </c>
      <c r="M422" s="97">
        <v>0</v>
      </c>
      <c r="N422" s="97">
        <v>0</v>
      </c>
      <c r="O422" s="97">
        <v>0</v>
      </c>
      <c r="P422" s="97">
        <f t="shared" si="85"/>
        <v>2063682</v>
      </c>
      <c r="Q422" s="97">
        <f t="shared" si="86"/>
        <v>1257.1928114529394</v>
      </c>
      <c r="R422" s="97">
        <v>42000</v>
      </c>
      <c r="S422" s="55" t="s">
        <v>843</v>
      </c>
      <c r="T422" s="92" t="s">
        <v>773</v>
      </c>
      <c r="X422" s="190"/>
    </row>
    <row r="423" spans="1:24" s="43" customFormat="1" ht="15">
      <c r="A423" s="10">
        <f t="shared" si="84"/>
        <v>324</v>
      </c>
      <c r="B423" s="59" t="s">
        <v>754</v>
      </c>
      <c r="C423" s="92">
        <v>1957</v>
      </c>
      <c r="D423" s="92"/>
      <c r="E423" s="92" t="s">
        <v>94</v>
      </c>
      <c r="F423" s="92">
        <v>3</v>
      </c>
      <c r="G423" s="92">
        <v>2</v>
      </c>
      <c r="H423" s="86">
        <v>1203.23</v>
      </c>
      <c r="I423" s="86">
        <v>1025.26</v>
      </c>
      <c r="J423" s="86">
        <v>488.5</v>
      </c>
      <c r="K423" s="10">
        <v>38</v>
      </c>
      <c r="L423" s="97">
        <f>'виды работ  (2)'!C422</f>
        <v>1292667</v>
      </c>
      <c r="M423" s="97">
        <v>0</v>
      </c>
      <c r="N423" s="97">
        <v>0</v>
      </c>
      <c r="O423" s="97">
        <v>0</v>
      </c>
      <c r="P423" s="97">
        <f t="shared" si="85"/>
        <v>1292667</v>
      </c>
      <c r="Q423" s="97">
        <f t="shared" si="86"/>
        <v>1074.330759705127</v>
      </c>
      <c r="R423" s="97">
        <v>42000</v>
      </c>
      <c r="S423" s="55" t="s">
        <v>843</v>
      </c>
      <c r="T423" s="92" t="s">
        <v>773</v>
      </c>
      <c r="X423" s="190"/>
    </row>
    <row r="424" spans="1:24" s="186" customFormat="1" ht="15">
      <c r="A424" s="10">
        <f t="shared" si="84"/>
        <v>325</v>
      </c>
      <c r="B424" s="13" t="s">
        <v>334</v>
      </c>
      <c r="C424" s="92">
        <v>1962</v>
      </c>
      <c r="D424" s="95"/>
      <c r="E424" s="92" t="s">
        <v>94</v>
      </c>
      <c r="F424" s="95">
        <v>4</v>
      </c>
      <c r="G424" s="95">
        <v>3</v>
      </c>
      <c r="H424" s="97">
        <v>2207.91</v>
      </c>
      <c r="I424" s="97">
        <v>2017.4</v>
      </c>
      <c r="J424" s="97">
        <v>1811.3</v>
      </c>
      <c r="K424" s="96">
        <v>78</v>
      </c>
      <c r="L424" s="97">
        <f>'виды работ  (2)'!C423</f>
        <v>2848094</v>
      </c>
      <c r="M424" s="97">
        <v>0</v>
      </c>
      <c r="N424" s="97">
        <v>0</v>
      </c>
      <c r="O424" s="97">
        <v>0</v>
      </c>
      <c r="P424" s="97">
        <f t="shared" si="85"/>
        <v>2848094</v>
      </c>
      <c r="Q424" s="97">
        <f t="shared" si="86"/>
        <v>1289.9502244203795</v>
      </c>
      <c r="R424" s="97">
        <v>42000</v>
      </c>
      <c r="S424" s="55" t="s">
        <v>843</v>
      </c>
      <c r="T424" s="92" t="s">
        <v>773</v>
      </c>
      <c r="X424" s="190"/>
    </row>
    <row r="425" spans="1:24" s="43" customFormat="1" ht="15">
      <c r="A425" s="10">
        <f t="shared" si="84"/>
        <v>326</v>
      </c>
      <c r="B425" s="59" t="s">
        <v>328</v>
      </c>
      <c r="C425" s="92">
        <v>1951</v>
      </c>
      <c r="D425" s="92"/>
      <c r="E425" s="92" t="s">
        <v>700</v>
      </c>
      <c r="F425" s="92">
        <v>2</v>
      </c>
      <c r="G425" s="92">
        <v>2</v>
      </c>
      <c r="H425" s="86">
        <v>779.11</v>
      </c>
      <c r="I425" s="86">
        <v>710.81</v>
      </c>
      <c r="J425" s="86">
        <v>511.33</v>
      </c>
      <c r="K425" s="10">
        <v>47</v>
      </c>
      <c r="L425" s="97">
        <f>'виды работ  (2)'!C424</f>
        <v>10956258</v>
      </c>
      <c r="M425" s="97">
        <v>0</v>
      </c>
      <c r="N425" s="97">
        <v>0</v>
      </c>
      <c r="O425" s="97">
        <v>0</v>
      </c>
      <c r="P425" s="97">
        <f t="shared" si="85"/>
        <v>10956258</v>
      </c>
      <c r="Q425" s="97">
        <f t="shared" si="86"/>
        <v>14062.530323060928</v>
      </c>
      <c r="R425" s="97">
        <v>42000</v>
      </c>
      <c r="S425" s="55" t="s">
        <v>843</v>
      </c>
      <c r="T425" s="92" t="s">
        <v>773</v>
      </c>
      <c r="X425" s="190"/>
    </row>
    <row r="426" spans="1:24" s="43" customFormat="1" ht="15">
      <c r="A426" s="10">
        <f t="shared" si="84"/>
        <v>327</v>
      </c>
      <c r="B426" s="88" t="s">
        <v>329</v>
      </c>
      <c r="C426" s="92">
        <v>1965</v>
      </c>
      <c r="D426" s="92"/>
      <c r="E426" s="92" t="s">
        <v>94</v>
      </c>
      <c r="F426" s="92">
        <v>3</v>
      </c>
      <c r="G426" s="92">
        <v>2</v>
      </c>
      <c r="H426" s="86">
        <v>1049.45</v>
      </c>
      <c r="I426" s="86">
        <v>983.49</v>
      </c>
      <c r="J426" s="86">
        <v>908.67</v>
      </c>
      <c r="K426" s="10">
        <v>51</v>
      </c>
      <c r="L426" s="97">
        <f>'виды работ  (2)'!C425</f>
        <v>1319152</v>
      </c>
      <c r="M426" s="97">
        <v>0</v>
      </c>
      <c r="N426" s="97">
        <v>0</v>
      </c>
      <c r="O426" s="97">
        <v>0</v>
      </c>
      <c r="P426" s="97">
        <f t="shared" si="85"/>
        <v>1319152</v>
      </c>
      <c r="Q426" s="97">
        <f t="shared" si="86"/>
        <v>1256.9936633474676</v>
      </c>
      <c r="R426" s="97">
        <v>42000</v>
      </c>
      <c r="S426" s="55" t="s">
        <v>843</v>
      </c>
      <c r="T426" s="92" t="s">
        <v>773</v>
      </c>
      <c r="X426" s="190"/>
    </row>
    <row r="427" spans="1:24" s="186" customFormat="1" ht="15">
      <c r="A427" s="117" t="s">
        <v>597</v>
      </c>
      <c r="B427" s="117"/>
      <c r="C427" s="86" t="s">
        <v>430</v>
      </c>
      <c r="D427" s="86" t="s">
        <v>430</v>
      </c>
      <c r="E427" s="86" t="s">
        <v>430</v>
      </c>
      <c r="F427" s="86" t="s">
        <v>430</v>
      </c>
      <c r="G427" s="86" t="s">
        <v>430</v>
      </c>
      <c r="H427" s="97">
        <f>SUM(H405:H426)</f>
        <v>39361.259999999995</v>
      </c>
      <c r="I427" s="97">
        <f aca="true" t="shared" si="87" ref="I427:P427">SUM(I405:I426)</f>
        <v>34713.34</v>
      </c>
      <c r="J427" s="97">
        <f t="shared" si="87"/>
        <v>30152.750000000004</v>
      </c>
      <c r="K427" s="96">
        <f t="shared" si="87"/>
        <v>1620</v>
      </c>
      <c r="L427" s="97">
        <f t="shared" si="87"/>
        <v>63980206</v>
      </c>
      <c r="M427" s="97">
        <f t="shared" si="87"/>
        <v>0</v>
      </c>
      <c r="N427" s="97">
        <f t="shared" si="87"/>
        <v>0</v>
      </c>
      <c r="O427" s="97">
        <f t="shared" si="87"/>
        <v>0</v>
      </c>
      <c r="P427" s="97">
        <f t="shared" si="87"/>
        <v>63980206</v>
      </c>
      <c r="Q427" s="97">
        <f>L427/H427</f>
        <v>1625.4613292359038</v>
      </c>
      <c r="R427" s="56" t="s">
        <v>430</v>
      </c>
      <c r="S427" s="56" t="s">
        <v>430</v>
      </c>
      <c r="T427" s="56" t="s">
        <v>430</v>
      </c>
      <c r="U427" s="190"/>
      <c r="X427" s="190"/>
    </row>
    <row r="428" spans="1:24" s="186" customFormat="1" ht="15">
      <c r="A428" s="105" t="s">
        <v>632</v>
      </c>
      <c r="B428" s="110"/>
      <c r="C428" s="110"/>
      <c r="D428" s="110"/>
      <c r="E428" s="106"/>
      <c r="F428" s="178"/>
      <c r="G428" s="178"/>
      <c r="H428" s="178"/>
      <c r="I428" s="178"/>
      <c r="J428" s="178"/>
      <c r="K428" s="178"/>
      <c r="L428" s="178"/>
      <c r="M428" s="178"/>
      <c r="N428" s="178"/>
      <c r="O428" s="178"/>
      <c r="P428" s="178"/>
      <c r="Q428" s="178"/>
      <c r="R428" s="178"/>
      <c r="S428" s="178"/>
      <c r="T428" s="178"/>
      <c r="X428" s="190"/>
    </row>
    <row r="429" spans="1:24" s="186" customFormat="1" ht="15">
      <c r="A429" s="96">
        <f>A426+1</f>
        <v>328</v>
      </c>
      <c r="B429" s="188" t="s">
        <v>339</v>
      </c>
      <c r="C429" s="92">
        <v>1953</v>
      </c>
      <c r="D429" s="95"/>
      <c r="E429" s="92" t="s">
        <v>700</v>
      </c>
      <c r="F429" s="95">
        <v>2</v>
      </c>
      <c r="G429" s="95">
        <v>2</v>
      </c>
      <c r="H429" s="97">
        <v>780.66</v>
      </c>
      <c r="I429" s="97">
        <v>780.66</v>
      </c>
      <c r="J429" s="97">
        <v>640.69</v>
      </c>
      <c r="K429" s="96">
        <v>26</v>
      </c>
      <c r="L429" s="97">
        <f>'виды работ  (2)'!C428</f>
        <v>355120</v>
      </c>
      <c r="M429" s="97">
        <v>0</v>
      </c>
      <c r="N429" s="97">
        <v>0</v>
      </c>
      <c r="O429" s="97">
        <v>0</v>
      </c>
      <c r="P429" s="97">
        <f aca="true" t="shared" si="88" ref="P429:P443">L429</f>
        <v>355120</v>
      </c>
      <c r="Q429" s="97">
        <f aca="true" t="shared" si="89" ref="Q429:Q444">L429/H429</f>
        <v>454.8971383188584</v>
      </c>
      <c r="R429" s="97">
        <v>42000</v>
      </c>
      <c r="S429" s="55" t="s">
        <v>843</v>
      </c>
      <c r="T429" s="92" t="s">
        <v>773</v>
      </c>
      <c r="X429" s="190"/>
    </row>
    <row r="430" spans="1:24" s="186" customFormat="1" ht="15">
      <c r="A430" s="10">
        <f aca="true" t="shared" si="90" ref="A430:A443">A429+1</f>
        <v>329</v>
      </c>
      <c r="B430" s="188" t="s">
        <v>340</v>
      </c>
      <c r="C430" s="92">
        <v>1951</v>
      </c>
      <c r="D430" s="95"/>
      <c r="E430" s="92" t="s">
        <v>700</v>
      </c>
      <c r="F430" s="95">
        <v>2</v>
      </c>
      <c r="G430" s="95">
        <v>2</v>
      </c>
      <c r="H430" s="97">
        <v>797.07</v>
      </c>
      <c r="I430" s="97">
        <v>797.07</v>
      </c>
      <c r="J430" s="97">
        <v>570.98</v>
      </c>
      <c r="K430" s="96">
        <v>32</v>
      </c>
      <c r="L430" s="97">
        <f>'виды работ  (2)'!C429</f>
        <v>309400</v>
      </c>
      <c r="M430" s="97">
        <v>0</v>
      </c>
      <c r="N430" s="97">
        <v>0</v>
      </c>
      <c r="O430" s="97">
        <v>0</v>
      </c>
      <c r="P430" s="97">
        <f t="shared" si="88"/>
        <v>309400</v>
      </c>
      <c r="Q430" s="97">
        <f t="shared" si="89"/>
        <v>388.17167877350795</v>
      </c>
      <c r="R430" s="97">
        <v>42000</v>
      </c>
      <c r="S430" s="55" t="s">
        <v>843</v>
      </c>
      <c r="T430" s="92" t="s">
        <v>773</v>
      </c>
      <c r="X430" s="190"/>
    </row>
    <row r="431" spans="1:24" s="186" customFormat="1" ht="15">
      <c r="A431" s="10">
        <f t="shared" si="90"/>
        <v>330</v>
      </c>
      <c r="B431" s="188" t="s">
        <v>335</v>
      </c>
      <c r="C431" s="92">
        <v>1950</v>
      </c>
      <c r="D431" s="95"/>
      <c r="E431" s="92" t="s">
        <v>700</v>
      </c>
      <c r="F431" s="95">
        <v>2</v>
      </c>
      <c r="G431" s="95">
        <v>2</v>
      </c>
      <c r="H431" s="97">
        <v>782.72</v>
      </c>
      <c r="I431" s="97">
        <v>782.72</v>
      </c>
      <c r="J431" s="97">
        <v>505.21</v>
      </c>
      <c r="K431" s="96">
        <v>29</v>
      </c>
      <c r="L431" s="97">
        <f>'виды работ  (2)'!C430</f>
        <v>342300</v>
      </c>
      <c r="M431" s="97">
        <v>0</v>
      </c>
      <c r="N431" s="97">
        <v>0</v>
      </c>
      <c r="O431" s="97">
        <v>0</v>
      </c>
      <c r="P431" s="97">
        <f t="shared" si="88"/>
        <v>342300</v>
      </c>
      <c r="Q431" s="97">
        <f t="shared" si="89"/>
        <v>437.3211365494685</v>
      </c>
      <c r="R431" s="97">
        <v>42000</v>
      </c>
      <c r="S431" s="55" t="s">
        <v>843</v>
      </c>
      <c r="T431" s="92" t="s">
        <v>773</v>
      </c>
      <c r="X431" s="190"/>
    </row>
    <row r="432" spans="1:24" s="186" customFormat="1" ht="15">
      <c r="A432" s="10">
        <f t="shared" si="90"/>
        <v>331</v>
      </c>
      <c r="B432" s="188" t="s">
        <v>343</v>
      </c>
      <c r="C432" s="92">
        <v>1951</v>
      </c>
      <c r="D432" s="95"/>
      <c r="E432" s="92" t="s">
        <v>700</v>
      </c>
      <c r="F432" s="95">
        <v>2</v>
      </c>
      <c r="G432" s="95">
        <v>2</v>
      </c>
      <c r="H432" s="97">
        <v>779.75</v>
      </c>
      <c r="I432" s="97">
        <v>779.75</v>
      </c>
      <c r="J432" s="97">
        <v>516.03</v>
      </c>
      <c r="K432" s="96">
        <v>31</v>
      </c>
      <c r="L432" s="97">
        <f>'виды работ  (2)'!C431</f>
        <v>356278</v>
      </c>
      <c r="M432" s="97">
        <v>0</v>
      </c>
      <c r="N432" s="97">
        <v>0</v>
      </c>
      <c r="O432" s="97">
        <v>0</v>
      </c>
      <c r="P432" s="97">
        <f t="shared" si="88"/>
        <v>356278</v>
      </c>
      <c r="Q432" s="97">
        <f t="shared" si="89"/>
        <v>456.91311317730043</v>
      </c>
      <c r="R432" s="97">
        <v>42000</v>
      </c>
      <c r="S432" s="55" t="s">
        <v>843</v>
      </c>
      <c r="T432" s="92" t="s">
        <v>773</v>
      </c>
      <c r="X432" s="190"/>
    </row>
    <row r="433" spans="1:24" s="186" customFormat="1" ht="15">
      <c r="A433" s="10">
        <f t="shared" si="90"/>
        <v>332</v>
      </c>
      <c r="B433" s="188" t="s">
        <v>344</v>
      </c>
      <c r="C433" s="92">
        <v>1952</v>
      </c>
      <c r="D433" s="95"/>
      <c r="E433" s="92" t="s">
        <v>700</v>
      </c>
      <c r="F433" s="95">
        <v>2</v>
      </c>
      <c r="G433" s="95">
        <v>2</v>
      </c>
      <c r="H433" s="97">
        <v>784.5</v>
      </c>
      <c r="I433" s="97">
        <v>784.5</v>
      </c>
      <c r="J433" s="97">
        <v>735.23</v>
      </c>
      <c r="K433" s="96">
        <v>33</v>
      </c>
      <c r="L433" s="97">
        <f>'виды работ  (2)'!C432</f>
        <v>377054</v>
      </c>
      <c r="M433" s="97">
        <v>0</v>
      </c>
      <c r="N433" s="97">
        <v>0</v>
      </c>
      <c r="O433" s="97">
        <v>0</v>
      </c>
      <c r="P433" s="97">
        <f t="shared" si="88"/>
        <v>377054</v>
      </c>
      <c r="Q433" s="97">
        <f t="shared" si="89"/>
        <v>480.62970044614406</v>
      </c>
      <c r="R433" s="97">
        <v>42000</v>
      </c>
      <c r="S433" s="55" t="s">
        <v>843</v>
      </c>
      <c r="T433" s="92" t="s">
        <v>773</v>
      </c>
      <c r="X433" s="190"/>
    </row>
    <row r="434" spans="1:24" s="186" customFormat="1" ht="15">
      <c r="A434" s="10">
        <f t="shared" si="90"/>
        <v>333</v>
      </c>
      <c r="B434" s="188" t="s">
        <v>341</v>
      </c>
      <c r="C434" s="92">
        <v>1954</v>
      </c>
      <c r="D434" s="95"/>
      <c r="E434" s="92" t="s">
        <v>700</v>
      </c>
      <c r="F434" s="95">
        <v>2</v>
      </c>
      <c r="G434" s="95">
        <v>2</v>
      </c>
      <c r="H434" s="97">
        <v>800.75</v>
      </c>
      <c r="I434" s="97">
        <v>800.75</v>
      </c>
      <c r="J434" s="97">
        <v>489.19</v>
      </c>
      <c r="K434" s="96">
        <v>35</v>
      </c>
      <c r="L434" s="97">
        <f>'виды работ  (2)'!C433</f>
        <v>365778</v>
      </c>
      <c r="M434" s="97">
        <v>0</v>
      </c>
      <c r="N434" s="97">
        <v>0</v>
      </c>
      <c r="O434" s="97">
        <v>0</v>
      </c>
      <c r="P434" s="97">
        <f t="shared" si="88"/>
        <v>365778</v>
      </c>
      <c r="Q434" s="97">
        <f t="shared" si="89"/>
        <v>456.79425538557604</v>
      </c>
      <c r="R434" s="97">
        <v>42000</v>
      </c>
      <c r="S434" s="55" t="s">
        <v>843</v>
      </c>
      <c r="T434" s="92" t="s">
        <v>773</v>
      </c>
      <c r="X434" s="190"/>
    </row>
    <row r="435" spans="1:24" s="186" customFormat="1" ht="15">
      <c r="A435" s="10">
        <f t="shared" si="90"/>
        <v>334</v>
      </c>
      <c r="B435" s="188" t="s">
        <v>342</v>
      </c>
      <c r="C435" s="92">
        <v>1954</v>
      </c>
      <c r="D435" s="95"/>
      <c r="E435" s="92" t="s">
        <v>700</v>
      </c>
      <c r="F435" s="95">
        <v>2</v>
      </c>
      <c r="G435" s="95">
        <v>2</v>
      </c>
      <c r="H435" s="97">
        <v>821.09</v>
      </c>
      <c r="I435" s="97">
        <v>821.09</v>
      </c>
      <c r="J435" s="97">
        <v>608.59</v>
      </c>
      <c r="K435" s="96">
        <v>28</v>
      </c>
      <c r="L435" s="97">
        <f>'виды работ  (2)'!C434</f>
        <v>366936</v>
      </c>
      <c r="M435" s="97">
        <v>0</v>
      </c>
      <c r="N435" s="97">
        <v>0</v>
      </c>
      <c r="O435" s="97">
        <v>0</v>
      </c>
      <c r="P435" s="97">
        <f t="shared" si="88"/>
        <v>366936</v>
      </c>
      <c r="Q435" s="97">
        <f t="shared" si="89"/>
        <v>446.8888915953184</v>
      </c>
      <c r="R435" s="97">
        <v>42000</v>
      </c>
      <c r="S435" s="55" t="s">
        <v>843</v>
      </c>
      <c r="T435" s="92" t="s">
        <v>773</v>
      </c>
      <c r="X435" s="190"/>
    </row>
    <row r="436" spans="1:24" s="186" customFormat="1" ht="15">
      <c r="A436" s="10">
        <f t="shared" si="90"/>
        <v>335</v>
      </c>
      <c r="B436" s="188" t="s">
        <v>346</v>
      </c>
      <c r="C436" s="92">
        <v>1955</v>
      </c>
      <c r="D436" s="95"/>
      <c r="E436" s="92" t="s">
        <v>700</v>
      </c>
      <c r="F436" s="95">
        <v>2</v>
      </c>
      <c r="G436" s="95">
        <v>2</v>
      </c>
      <c r="H436" s="97">
        <v>842.2</v>
      </c>
      <c r="I436" s="97">
        <v>842.2</v>
      </c>
      <c r="J436" s="97">
        <v>449.91</v>
      </c>
      <c r="K436" s="96">
        <v>49</v>
      </c>
      <c r="L436" s="97">
        <f>'виды работ  (2)'!C435</f>
        <v>321939</v>
      </c>
      <c r="M436" s="97">
        <v>0</v>
      </c>
      <c r="N436" s="97">
        <v>0</v>
      </c>
      <c r="O436" s="97">
        <v>0</v>
      </c>
      <c r="P436" s="97">
        <f t="shared" si="88"/>
        <v>321939</v>
      </c>
      <c r="Q436" s="97">
        <f t="shared" si="89"/>
        <v>382.25955829969126</v>
      </c>
      <c r="R436" s="97">
        <v>42000</v>
      </c>
      <c r="S436" s="55" t="s">
        <v>843</v>
      </c>
      <c r="T436" s="92" t="s">
        <v>773</v>
      </c>
      <c r="X436" s="190"/>
    </row>
    <row r="437" spans="1:24" s="186" customFormat="1" ht="15">
      <c r="A437" s="10">
        <f t="shared" si="90"/>
        <v>336</v>
      </c>
      <c r="B437" s="199" t="s">
        <v>338</v>
      </c>
      <c r="C437" s="92">
        <v>1964</v>
      </c>
      <c r="D437" s="95"/>
      <c r="E437" s="92" t="s">
        <v>465</v>
      </c>
      <c r="F437" s="95">
        <v>2</v>
      </c>
      <c r="G437" s="95">
        <v>2</v>
      </c>
      <c r="H437" s="97">
        <v>503.71</v>
      </c>
      <c r="I437" s="97">
        <v>503.71</v>
      </c>
      <c r="J437" s="97">
        <v>437.71</v>
      </c>
      <c r="K437" s="96">
        <v>17</v>
      </c>
      <c r="L437" s="97">
        <f>'виды работ  (2)'!C436</f>
        <v>616016</v>
      </c>
      <c r="M437" s="97">
        <v>0</v>
      </c>
      <c r="N437" s="97">
        <v>0</v>
      </c>
      <c r="O437" s="97">
        <v>0</v>
      </c>
      <c r="P437" s="97">
        <f t="shared" si="88"/>
        <v>616016</v>
      </c>
      <c r="Q437" s="97">
        <f t="shared" si="89"/>
        <v>1222.957654205793</v>
      </c>
      <c r="R437" s="97">
        <v>42000</v>
      </c>
      <c r="S437" s="55" t="s">
        <v>843</v>
      </c>
      <c r="T437" s="92" t="s">
        <v>773</v>
      </c>
      <c r="X437" s="190"/>
    </row>
    <row r="438" spans="1:24" s="43" customFormat="1" ht="15">
      <c r="A438" s="10">
        <f t="shared" si="90"/>
        <v>337</v>
      </c>
      <c r="B438" s="59" t="s">
        <v>755</v>
      </c>
      <c r="C438" s="95">
        <v>1950</v>
      </c>
      <c r="D438" s="95"/>
      <c r="E438" s="92" t="s">
        <v>700</v>
      </c>
      <c r="F438" s="95">
        <v>2</v>
      </c>
      <c r="G438" s="95">
        <v>2</v>
      </c>
      <c r="H438" s="97">
        <v>791.15</v>
      </c>
      <c r="I438" s="97">
        <v>791.15</v>
      </c>
      <c r="J438" s="97">
        <v>322.44</v>
      </c>
      <c r="K438" s="96">
        <v>31</v>
      </c>
      <c r="L438" s="97">
        <f>'виды работ  (2)'!C437</f>
        <v>14206108</v>
      </c>
      <c r="M438" s="86">
        <v>0</v>
      </c>
      <c r="N438" s="86">
        <v>0</v>
      </c>
      <c r="O438" s="86">
        <v>0</v>
      </c>
      <c r="P438" s="86">
        <f>L438</f>
        <v>14206108</v>
      </c>
      <c r="Q438" s="86">
        <f>L438/H438</f>
        <v>17956.27630664223</v>
      </c>
      <c r="R438" s="97">
        <v>42000</v>
      </c>
      <c r="S438" s="55" t="s">
        <v>843</v>
      </c>
      <c r="T438" s="92" t="s">
        <v>773</v>
      </c>
      <c r="X438" s="190"/>
    </row>
    <row r="439" spans="1:24" s="186" customFormat="1" ht="15">
      <c r="A439" s="10">
        <f t="shared" si="90"/>
        <v>338</v>
      </c>
      <c r="B439" s="188" t="s">
        <v>345</v>
      </c>
      <c r="C439" s="92">
        <v>1955</v>
      </c>
      <c r="D439" s="95"/>
      <c r="E439" s="92" t="s">
        <v>700</v>
      </c>
      <c r="F439" s="95">
        <v>2</v>
      </c>
      <c r="G439" s="95">
        <v>2</v>
      </c>
      <c r="H439" s="97">
        <v>771.51</v>
      </c>
      <c r="I439" s="97">
        <v>771.51</v>
      </c>
      <c r="J439" s="97">
        <v>720.68</v>
      </c>
      <c r="K439" s="96">
        <v>35</v>
      </c>
      <c r="L439" s="97">
        <f>'виды работ  (2)'!C438</f>
        <v>321406</v>
      </c>
      <c r="M439" s="97">
        <v>0</v>
      </c>
      <c r="N439" s="97">
        <v>0</v>
      </c>
      <c r="O439" s="97">
        <v>0</v>
      </c>
      <c r="P439" s="97">
        <f t="shared" si="88"/>
        <v>321406</v>
      </c>
      <c r="Q439" s="97">
        <f t="shared" si="89"/>
        <v>416.593433656077</v>
      </c>
      <c r="R439" s="97">
        <v>42000</v>
      </c>
      <c r="S439" s="55" t="s">
        <v>843</v>
      </c>
      <c r="T439" s="92" t="s">
        <v>773</v>
      </c>
      <c r="X439" s="190"/>
    </row>
    <row r="440" spans="1:24" s="186" customFormat="1" ht="15">
      <c r="A440" s="10">
        <f t="shared" si="90"/>
        <v>339</v>
      </c>
      <c r="B440" s="188" t="s">
        <v>336</v>
      </c>
      <c r="C440" s="92">
        <v>1960</v>
      </c>
      <c r="D440" s="95"/>
      <c r="E440" s="92" t="s">
        <v>700</v>
      </c>
      <c r="F440" s="95">
        <v>2</v>
      </c>
      <c r="G440" s="95">
        <v>2</v>
      </c>
      <c r="H440" s="97">
        <v>617.3</v>
      </c>
      <c r="I440" s="97">
        <v>617.3</v>
      </c>
      <c r="J440" s="97">
        <v>617.3</v>
      </c>
      <c r="K440" s="96">
        <v>30</v>
      </c>
      <c r="L440" s="97">
        <f>'виды работ  (2)'!C439</f>
        <v>2457033</v>
      </c>
      <c r="M440" s="97">
        <v>0</v>
      </c>
      <c r="N440" s="97">
        <v>0</v>
      </c>
      <c r="O440" s="97">
        <v>0</v>
      </c>
      <c r="P440" s="97">
        <f t="shared" si="88"/>
        <v>2457033</v>
      </c>
      <c r="Q440" s="97">
        <f t="shared" si="89"/>
        <v>3980.2899724607164</v>
      </c>
      <c r="R440" s="97">
        <v>42000</v>
      </c>
      <c r="S440" s="55" t="s">
        <v>843</v>
      </c>
      <c r="T440" s="92" t="s">
        <v>773</v>
      </c>
      <c r="X440" s="190"/>
    </row>
    <row r="441" spans="1:24" s="186" customFormat="1" ht="15">
      <c r="A441" s="10">
        <f t="shared" si="90"/>
        <v>340</v>
      </c>
      <c r="B441" s="188" t="s">
        <v>337</v>
      </c>
      <c r="C441" s="92">
        <v>1959</v>
      </c>
      <c r="D441" s="95"/>
      <c r="E441" s="92" t="s">
        <v>700</v>
      </c>
      <c r="F441" s="95">
        <v>2</v>
      </c>
      <c r="G441" s="95">
        <v>2</v>
      </c>
      <c r="H441" s="97">
        <v>691.09</v>
      </c>
      <c r="I441" s="97">
        <v>691.09</v>
      </c>
      <c r="J441" s="97">
        <v>674.45</v>
      </c>
      <c r="K441" s="96">
        <v>31</v>
      </c>
      <c r="L441" s="97">
        <f>'виды работ  (2)'!C440</f>
        <v>2920334</v>
      </c>
      <c r="M441" s="97">
        <v>0</v>
      </c>
      <c r="N441" s="97">
        <v>0</v>
      </c>
      <c r="O441" s="97">
        <v>0</v>
      </c>
      <c r="P441" s="97">
        <f t="shared" si="88"/>
        <v>2920334</v>
      </c>
      <c r="Q441" s="97">
        <f t="shared" si="89"/>
        <v>4225.692746241444</v>
      </c>
      <c r="R441" s="97">
        <v>42000</v>
      </c>
      <c r="S441" s="55" t="s">
        <v>843</v>
      </c>
      <c r="T441" s="92" t="s">
        <v>773</v>
      </c>
      <c r="X441" s="190"/>
    </row>
    <row r="442" spans="1:24" s="186" customFormat="1" ht="15">
      <c r="A442" s="10">
        <f t="shared" si="90"/>
        <v>341</v>
      </c>
      <c r="B442" s="188" t="s">
        <v>347</v>
      </c>
      <c r="C442" s="92">
        <v>1987</v>
      </c>
      <c r="D442" s="95"/>
      <c r="E442" s="92" t="s">
        <v>94</v>
      </c>
      <c r="F442" s="95">
        <v>2</v>
      </c>
      <c r="G442" s="95">
        <v>1</v>
      </c>
      <c r="H442" s="97">
        <v>746.74</v>
      </c>
      <c r="I442" s="97">
        <v>746.74</v>
      </c>
      <c r="J442" s="97">
        <v>500.07</v>
      </c>
      <c r="K442" s="96">
        <v>36</v>
      </c>
      <c r="L442" s="97">
        <f>'виды работ  (2)'!C441</f>
        <v>4133021</v>
      </c>
      <c r="M442" s="97">
        <v>0</v>
      </c>
      <c r="N442" s="97">
        <v>0</v>
      </c>
      <c r="O442" s="97">
        <v>0</v>
      </c>
      <c r="P442" s="97">
        <f t="shared" si="88"/>
        <v>4133021</v>
      </c>
      <c r="Q442" s="97">
        <f t="shared" si="89"/>
        <v>5534.752390390229</v>
      </c>
      <c r="R442" s="97">
        <v>42000</v>
      </c>
      <c r="S442" s="55" t="s">
        <v>843</v>
      </c>
      <c r="T442" s="92" t="s">
        <v>773</v>
      </c>
      <c r="X442" s="190"/>
    </row>
    <row r="443" spans="1:24" s="186" customFormat="1" ht="15">
      <c r="A443" s="10">
        <f t="shared" si="90"/>
        <v>342</v>
      </c>
      <c r="B443" s="188" t="s">
        <v>348</v>
      </c>
      <c r="C443" s="92">
        <v>1984</v>
      </c>
      <c r="D443" s="95"/>
      <c r="E443" s="92" t="s">
        <v>94</v>
      </c>
      <c r="F443" s="95">
        <v>3</v>
      </c>
      <c r="G443" s="95">
        <v>3</v>
      </c>
      <c r="H443" s="97">
        <v>1318</v>
      </c>
      <c r="I443" s="97">
        <v>1318</v>
      </c>
      <c r="J443" s="97">
        <v>1145.05</v>
      </c>
      <c r="K443" s="96">
        <v>67</v>
      </c>
      <c r="L443" s="97">
        <f>'виды работ  (2)'!C442</f>
        <v>391616</v>
      </c>
      <c r="M443" s="97">
        <v>0</v>
      </c>
      <c r="N443" s="97">
        <v>0</v>
      </c>
      <c r="O443" s="97">
        <v>0</v>
      </c>
      <c r="P443" s="97">
        <f t="shared" si="88"/>
        <v>391616</v>
      </c>
      <c r="Q443" s="97">
        <f t="shared" si="89"/>
        <v>297.1289833080425</v>
      </c>
      <c r="R443" s="97">
        <v>42000</v>
      </c>
      <c r="S443" s="55" t="s">
        <v>843</v>
      </c>
      <c r="T443" s="92" t="s">
        <v>773</v>
      </c>
      <c r="X443" s="190"/>
    </row>
    <row r="444" spans="1:24" s="186" customFormat="1" ht="15">
      <c r="A444" s="117" t="s">
        <v>597</v>
      </c>
      <c r="B444" s="117"/>
      <c r="C444" s="86" t="s">
        <v>430</v>
      </c>
      <c r="D444" s="86" t="s">
        <v>430</v>
      </c>
      <c r="E444" s="86" t="s">
        <v>430</v>
      </c>
      <c r="F444" s="86" t="s">
        <v>430</v>
      </c>
      <c r="G444" s="86" t="s">
        <v>430</v>
      </c>
      <c r="H444" s="97">
        <f>SUM(H429:H443)</f>
        <v>11828.239999999998</v>
      </c>
      <c r="I444" s="97">
        <f aca="true" t="shared" si="91" ref="I444:P444">SUM(I429:I443)</f>
        <v>11828.239999999998</v>
      </c>
      <c r="J444" s="97">
        <f t="shared" si="91"/>
        <v>8933.529999999999</v>
      </c>
      <c r="K444" s="96">
        <f t="shared" si="91"/>
        <v>510</v>
      </c>
      <c r="L444" s="97">
        <f>SUM(L429:L443)</f>
        <v>27840339</v>
      </c>
      <c r="M444" s="97">
        <f t="shared" si="91"/>
        <v>0</v>
      </c>
      <c r="N444" s="97">
        <f t="shared" si="91"/>
        <v>0</v>
      </c>
      <c r="O444" s="97">
        <f t="shared" si="91"/>
        <v>0</v>
      </c>
      <c r="P444" s="97">
        <f t="shared" si="91"/>
        <v>27840339</v>
      </c>
      <c r="Q444" s="97">
        <f t="shared" si="89"/>
        <v>2353.717797406884</v>
      </c>
      <c r="R444" s="56" t="s">
        <v>430</v>
      </c>
      <c r="S444" s="56" t="s">
        <v>430</v>
      </c>
      <c r="T444" s="56" t="s">
        <v>430</v>
      </c>
      <c r="U444" s="190"/>
      <c r="X444" s="190"/>
    </row>
    <row r="445" spans="1:24" s="186" customFormat="1" ht="15">
      <c r="A445" s="105" t="s">
        <v>633</v>
      </c>
      <c r="B445" s="110"/>
      <c r="C445" s="110"/>
      <c r="D445" s="110"/>
      <c r="E445" s="106"/>
      <c r="F445" s="178"/>
      <c r="G445" s="178"/>
      <c r="H445" s="178"/>
      <c r="I445" s="178"/>
      <c r="J445" s="178"/>
      <c r="K445" s="178"/>
      <c r="L445" s="178"/>
      <c r="M445" s="178"/>
      <c r="N445" s="178"/>
      <c r="O445" s="178"/>
      <c r="P445" s="178"/>
      <c r="Q445" s="178"/>
      <c r="R445" s="178"/>
      <c r="S445" s="178"/>
      <c r="T445" s="178"/>
      <c r="X445" s="190"/>
    </row>
    <row r="446" spans="1:24" s="186" customFormat="1" ht="15">
      <c r="A446" s="96">
        <f>A443+1</f>
        <v>343</v>
      </c>
      <c r="B446" s="88" t="s">
        <v>351</v>
      </c>
      <c r="C446" s="92">
        <v>1985</v>
      </c>
      <c r="D446" s="95"/>
      <c r="E446" s="92" t="s">
        <v>411</v>
      </c>
      <c r="F446" s="95">
        <v>5</v>
      </c>
      <c r="G446" s="95">
        <v>6</v>
      </c>
      <c r="H446" s="97">
        <v>5331.7</v>
      </c>
      <c r="I446" s="97">
        <v>4701.7</v>
      </c>
      <c r="J446" s="97">
        <v>2763.35</v>
      </c>
      <c r="K446" s="96">
        <v>224</v>
      </c>
      <c r="L446" s="97">
        <f>'виды работ  (2)'!C445</f>
        <v>9479316</v>
      </c>
      <c r="M446" s="97">
        <v>0</v>
      </c>
      <c r="N446" s="97">
        <v>0</v>
      </c>
      <c r="O446" s="97">
        <v>0</v>
      </c>
      <c r="P446" s="97">
        <f>L446</f>
        <v>9479316</v>
      </c>
      <c r="Q446" s="97">
        <f>L446/H446</f>
        <v>1777.9162368475347</v>
      </c>
      <c r="R446" s="97">
        <v>42000</v>
      </c>
      <c r="S446" s="55" t="s">
        <v>843</v>
      </c>
      <c r="T446" s="92" t="s">
        <v>773</v>
      </c>
      <c r="X446" s="190"/>
    </row>
    <row r="447" spans="1:24" s="186" customFormat="1" ht="15">
      <c r="A447" s="96">
        <f>A446+1</f>
        <v>344</v>
      </c>
      <c r="B447" s="88" t="s">
        <v>349</v>
      </c>
      <c r="C447" s="92">
        <v>1981</v>
      </c>
      <c r="D447" s="95"/>
      <c r="E447" s="92" t="s">
        <v>94</v>
      </c>
      <c r="F447" s="95">
        <v>5</v>
      </c>
      <c r="G447" s="95">
        <v>7</v>
      </c>
      <c r="H447" s="97">
        <v>4936.65</v>
      </c>
      <c r="I447" s="97">
        <v>4936.65</v>
      </c>
      <c r="J447" s="97">
        <v>4208.41</v>
      </c>
      <c r="K447" s="96">
        <v>256</v>
      </c>
      <c r="L447" s="97">
        <f>'виды работ  (2)'!C446</f>
        <v>7766909</v>
      </c>
      <c r="M447" s="97">
        <v>0</v>
      </c>
      <c r="N447" s="97">
        <v>0</v>
      </c>
      <c r="O447" s="97">
        <v>0</v>
      </c>
      <c r="P447" s="97">
        <f>L447</f>
        <v>7766909</v>
      </c>
      <c r="Q447" s="97">
        <f>L447/H447</f>
        <v>1573.3157100462865</v>
      </c>
      <c r="R447" s="97">
        <v>42000</v>
      </c>
      <c r="S447" s="55" t="s">
        <v>843</v>
      </c>
      <c r="T447" s="92" t="s">
        <v>773</v>
      </c>
      <c r="X447" s="190"/>
    </row>
    <row r="448" spans="1:24" s="186" customFormat="1" ht="15">
      <c r="A448" s="96">
        <f>A447+1</f>
        <v>345</v>
      </c>
      <c r="B448" s="88" t="s">
        <v>350</v>
      </c>
      <c r="C448" s="92">
        <v>1977</v>
      </c>
      <c r="D448" s="95"/>
      <c r="E448" s="92" t="s">
        <v>94</v>
      </c>
      <c r="F448" s="95">
        <v>5</v>
      </c>
      <c r="G448" s="95">
        <v>6</v>
      </c>
      <c r="H448" s="97">
        <v>4620.69</v>
      </c>
      <c r="I448" s="97">
        <v>2591.62</v>
      </c>
      <c r="J448" s="97">
        <v>2029.07</v>
      </c>
      <c r="K448" s="96">
        <v>193</v>
      </c>
      <c r="L448" s="97">
        <f>'виды работ  (2)'!C447</f>
        <v>13219369</v>
      </c>
      <c r="M448" s="97">
        <v>0</v>
      </c>
      <c r="N448" s="97">
        <v>0</v>
      </c>
      <c r="O448" s="97">
        <v>0</v>
      </c>
      <c r="P448" s="97">
        <f>L448</f>
        <v>13219369</v>
      </c>
      <c r="Q448" s="97">
        <f>L448/H448</f>
        <v>2860.9080029173133</v>
      </c>
      <c r="R448" s="97">
        <v>42000</v>
      </c>
      <c r="S448" s="55" t="s">
        <v>843</v>
      </c>
      <c r="T448" s="92" t="s">
        <v>773</v>
      </c>
      <c r="X448" s="190"/>
    </row>
    <row r="449" spans="1:24" s="186" customFormat="1" ht="15">
      <c r="A449" s="117" t="s">
        <v>597</v>
      </c>
      <c r="B449" s="117"/>
      <c r="C449" s="86" t="s">
        <v>430</v>
      </c>
      <c r="D449" s="86" t="s">
        <v>430</v>
      </c>
      <c r="E449" s="86" t="s">
        <v>430</v>
      </c>
      <c r="F449" s="86" t="s">
        <v>430</v>
      </c>
      <c r="G449" s="86" t="s">
        <v>430</v>
      </c>
      <c r="H449" s="97">
        <f aca="true" t="shared" si="92" ref="H449:P449">SUM(H446:H448)</f>
        <v>14889.039999999997</v>
      </c>
      <c r="I449" s="97">
        <f t="shared" si="92"/>
        <v>12229.969999999998</v>
      </c>
      <c r="J449" s="97">
        <f t="shared" si="92"/>
        <v>9000.83</v>
      </c>
      <c r="K449" s="96">
        <f t="shared" si="92"/>
        <v>673</v>
      </c>
      <c r="L449" s="97">
        <f t="shared" si="92"/>
        <v>30465594</v>
      </c>
      <c r="M449" s="97">
        <f t="shared" si="92"/>
        <v>0</v>
      </c>
      <c r="N449" s="97">
        <f t="shared" si="92"/>
        <v>0</v>
      </c>
      <c r="O449" s="97">
        <f t="shared" si="92"/>
        <v>0</v>
      </c>
      <c r="P449" s="97">
        <f t="shared" si="92"/>
        <v>30465594</v>
      </c>
      <c r="Q449" s="97">
        <f>L449/H449</f>
        <v>2046.1758447824711</v>
      </c>
      <c r="R449" s="56" t="s">
        <v>430</v>
      </c>
      <c r="S449" s="56" t="s">
        <v>430</v>
      </c>
      <c r="T449" s="56" t="s">
        <v>430</v>
      </c>
      <c r="U449" s="190"/>
      <c r="X449" s="190"/>
    </row>
    <row r="450" spans="1:24" s="186" customFormat="1" ht="15">
      <c r="A450" s="105" t="s">
        <v>634</v>
      </c>
      <c r="B450" s="110"/>
      <c r="C450" s="110"/>
      <c r="D450" s="110"/>
      <c r="E450" s="106"/>
      <c r="F450" s="178"/>
      <c r="G450" s="178"/>
      <c r="H450" s="178"/>
      <c r="I450" s="178"/>
      <c r="J450" s="178"/>
      <c r="K450" s="178"/>
      <c r="L450" s="178"/>
      <c r="M450" s="178"/>
      <c r="N450" s="178"/>
      <c r="O450" s="178"/>
      <c r="P450" s="178"/>
      <c r="Q450" s="178"/>
      <c r="R450" s="178"/>
      <c r="S450" s="178"/>
      <c r="T450" s="178"/>
      <c r="X450" s="190"/>
    </row>
    <row r="451" spans="1:24" s="186" customFormat="1" ht="15">
      <c r="A451" s="96">
        <f>A448+1</f>
        <v>346</v>
      </c>
      <c r="B451" s="59" t="s">
        <v>352</v>
      </c>
      <c r="C451" s="92">
        <v>1980</v>
      </c>
      <c r="D451" s="95"/>
      <c r="E451" s="92" t="s">
        <v>94</v>
      </c>
      <c r="F451" s="95">
        <v>5</v>
      </c>
      <c r="G451" s="95">
        <v>7</v>
      </c>
      <c r="H451" s="97">
        <v>5177.22</v>
      </c>
      <c r="I451" s="97">
        <v>4754.42</v>
      </c>
      <c r="J451" s="97">
        <v>4132.62</v>
      </c>
      <c r="K451" s="96">
        <v>257</v>
      </c>
      <c r="L451" s="97">
        <f>'виды работ  (2)'!C450</f>
        <v>2200227</v>
      </c>
      <c r="M451" s="97">
        <v>0</v>
      </c>
      <c r="N451" s="97">
        <v>0</v>
      </c>
      <c r="O451" s="97">
        <v>0</v>
      </c>
      <c r="P451" s="97">
        <f>L451</f>
        <v>2200227</v>
      </c>
      <c r="Q451" s="97">
        <f>L451/H451</f>
        <v>424.9823264222884</v>
      </c>
      <c r="R451" s="97">
        <v>42000</v>
      </c>
      <c r="S451" s="55" t="s">
        <v>843</v>
      </c>
      <c r="T451" s="92" t="s">
        <v>773</v>
      </c>
      <c r="X451" s="190"/>
    </row>
    <row r="452" spans="1:24" s="186" customFormat="1" ht="15">
      <c r="A452" s="117" t="s">
        <v>597</v>
      </c>
      <c r="B452" s="117"/>
      <c r="C452" s="86" t="s">
        <v>430</v>
      </c>
      <c r="D452" s="86" t="s">
        <v>430</v>
      </c>
      <c r="E452" s="86" t="s">
        <v>430</v>
      </c>
      <c r="F452" s="86" t="s">
        <v>430</v>
      </c>
      <c r="G452" s="86" t="s">
        <v>430</v>
      </c>
      <c r="H452" s="97">
        <f aca="true" t="shared" si="93" ref="H452:P452">SUM(H451:H451)</f>
        <v>5177.22</v>
      </c>
      <c r="I452" s="97">
        <f t="shared" si="93"/>
        <v>4754.42</v>
      </c>
      <c r="J452" s="97">
        <f t="shared" si="93"/>
        <v>4132.62</v>
      </c>
      <c r="K452" s="96">
        <f t="shared" si="93"/>
        <v>257</v>
      </c>
      <c r="L452" s="97">
        <f t="shared" si="93"/>
        <v>2200227</v>
      </c>
      <c r="M452" s="97">
        <f t="shared" si="93"/>
        <v>0</v>
      </c>
      <c r="N452" s="97">
        <f t="shared" si="93"/>
        <v>0</v>
      </c>
      <c r="O452" s="97">
        <f t="shared" si="93"/>
        <v>0</v>
      </c>
      <c r="P452" s="97">
        <f t="shared" si="93"/>
        <v>2200227</v>
      </c>
      <c r="Q452" s="97">
        <f>L452/H452</f>
        <v>424.9823264222884</v>
      </c>
      <c r="R452" s="56" t="s">
        <v>430</v>
      </c>
      <c r="S452" s="56" t="s">
        <v>430</v>
      </c>
      <c r="T452" s="56" t="s">
        <v>430</v>
      </c>
      <c r="U452" s="190"/>
      <c r="X452" s="190"/>
    </row>
    <row r="453" spans="1:24" s="186" customFormat="1" ht="15">
      <c r="A453" s="124" t="s">
        <v>636</v>
      </c>
      <c r="B453" s="125"/>
      <c r="C453" s="125"/>
      <c r="D453" s="125"/>
      <c r="E453" s="126"/>
      <c r="F453" s="178"/>
      <c r="G453" s="178"/>
      <c r="H453" s="178"/>
      <c r="I453" s="178"/>
      <c r="J453" s="178"/>
      <c r="K453" s="178"/>
      <c r="L453" s="178"/>
      <c r="M453" s="178"/>
      <c r="N453" s="178"/>
      <c r="O453" s="178"/>
      <c r="P453" s="178"/>
      <c r="Q453" s="178"/>
      <c r="R453" s="178"/>
      <c r="S453" s="178"/>
      <c r="T453" s="178"/>
      <c r="X453" s="190"/>
    </row>
    <row r="454" spans="1:24" s="186" customFormat="1" ht="15">
      <c r="A454" s="96">
        <f>A451+1</f>
        <v>347</v>
      </c>
      <c r="B454" s="89" t="s">
        <v>353</v>
      </c>
      <c r="C454" s="92">
        <v>1968</v>
      </c>
      <c r="D454" s="95"/>
      <c r="E454" s="92" t="s">
        <v>94</v>
      </c>
      <c r="F454" s="95">
        <v>2</v>
      </c>
      <c r="G454" s="95">
        <v>2</v>
      </c>
      <c r="H454" s="97">
        <v>525.4</v>
      </c>
      <c r="I454" s="97">
        <v>297.4</v>
      </c>
      <c r="J454" s="97">
        <v>248.7</v>
      </c>
      <c r="K454" s="97">
        <v>33</v>
      </c>
      <c r="L454" s="97">
        <f>'виды работ  (2)'!C453</f>
        <v>576317</v>
      </c>
      <c r="M454" s="97">
        <v>0</v>
      </c>
      <c r="N454" s="97">
        <v>0</v>
      </c>
      <c r="O454" s="97">
        <v>0</v>
      </c>
      <c r="P454" s="97">
        <f>L454</f>
        <v>576317</v>
      </c>
      <c r="Q454" s="97">
        <f aca="true" t="shared" si="94" ref="Q454:Q459">L454/H454</f>
        <v>1096.9109250095166</v>
      </c>
      <c r="R454" s="97">
        <v>42000</v>
      </c>
      <c r="S454" s="55" t="s">
        <v>843</v>
      </c>
      <c r="T454" s="92" t="s">
        <v>773</v>
      </c>
      <c r="X454" s="190"/>
    </row>
    <row r="455" spans="1:24" s="186" customFormat="1" ht="15">
      <c r="A455" s="96">
        <f>A454+1</f>
        <v>348</v>
      </c>
      <c r="B455" s="89" t="s">
        <v>354</v>
      </c>
      <c r="C455" s="92">
        <v>1971</v>
      </c>
      <c r="D455" s="95"/>
      <c r="E455" s="92" t="s">
        <v>94</v>
      </c>
      <c r="F455" s="95">
        <v>2</v>
      </c>
      <c r="G455" s="95">
        <v>2</v>
      </c>
      <c r="H455" s="97">
        <v>531.1</v>
      </c>
      <c r="I455" s="97">
        <v>302.3</v>
      </c>
      <c r="J455" s="97">
        <v>157.5</v>
      </c>
      <c r="K455" s="97">
        <v>34</v>
      </c>
      <c r="L455" s="97">
        <f>'виды работ  (2)'!C454</f>
        <v>576317</v>
      </c>
      <c r="M455" s="97">
        <v>0</v>
      </c>
      <c r="N455" s="97">
        <v>0</v>
      </c>
      <c r="O455" s="97">
        <v>0</v>
      </c>
      <c r="P455" s="97">
        <f>L455</f>
        <v>576317</v>
      </c>
      <c r="Q455" s="97">
        <f t="shared" si="94"/>
        <v>1085.1383920165692</v>
      </c>
      <c r="R455" s="97">
        <v>42000</v>
      </c>
      <c r="S455" s="55" t="s">
        <v>843</v>
      </c>
      <c r="T455" s="92" t="s">
        <v>773</v>
      </c>
      <c r="X455" s="190"/>
    </row>
    <row r="456" spans="1:24" s="186" customFormat="1" ht="15">
      <c r="A456" s="96">
        <f>A455+1</f>
        <v>349</v>
      </c>
      <c r="B456" s="89" t="s">
        <v>355</v>
      </c>
      <c r="C456" s="92">
        <v>1968</v>
      </c>
      <c r="D456" s="95"/>
      <c r="E456" s="92" t="s">
        <v>94</v>
      </c>
      <c r="F456" s="95">
        <v>2</v>
      </c>
      <c r="G456" s="95">
        <v>2</v>
      </c>
      <c r="H456" s="97">
        <v>525.4</v>
      </c>
      <c r="I456" s="97">
        <v>297.4</v>
      </c>
      <c r="J456" s="97">
        <v>260.8</v>
      </c>
      <c r="K456" s="97">
        <v>34</v>
      </c>
      <c r="L456" s="97">
        <f>'виды работ  (2)'!C455</f>
        <v>576317</v>
      </c>
      <c r="M456" s="97">
        <v>0</v>
      </c>
      <c r="N456" s="97">
        <v>0</v>
      </c>
      <c r="O456" s="97">
        <v>0</v>
      </c>
      <c r="P456" s="97">
        <f>L456</f>
        <v>576317</v>
      </c>
      <c r="Q456" s="97">
        <f t="shared" si="94"/>
        <v>1096.9109250095166</v>
      </c>
      <c r="R456" s="97">
        <v>42000</v>
      </c>
      <c r="S456" s="55" t="s">
        <v>843</v>
      </c>
      <c r="T456" s="92" t="s">
        <v>773</v>
      </c>
      <c r="X456" s="190"/>
    </row>
    <row r="457" spans="1:24" s="43" customFormat="1" ht="15">
      <c r="A457" s="96">
        <f>A456+1</f>
        <v>350</v>
      </c>
      <c r="B457" s="88" t="s">
        <v>756</v>
      </c>
      <c r="C457" s="72">
        <v>1976</v>
      </c>
      <c r="D457" s="95"/>
      <c r="E457" s="92" t="s">
        <v>94</v>
      </c>
      <c r="F457" s="95">
        <v>4</v>
      </c>
      <c r="G457" s="96">
        <v>4</v>
      </c>
      <c r="H457" s="97">
        <v>3606.85</v>
      </c>
      <c r="I457" s="97">
        <v>2563.25</v>
      </c>
      <c r="J457" s="97">
        <v>1959.8</v>
      </c>
      <c r="K457" s="97">
        <v>139</v>
      </c>
      <c r="L457" s="97">
        <f>'виды работ  (2)'!C456</f>
        <v>1935325</v>
      </c>
      <c r="M457" s="86">
        <v>0</v>
      </c>
      <c r="N457" s="86">
        <v>0</v>
      </c>
      <c r="O457" s="86">
        <v>0</v>
      </c>
      <c r="P457" s="86">
        <f>L457</f>
        <v>1935325</v>
      </c>
      <c r="Q457" s="86">
        <f t="shared" si="94"/>
        <v>536.5693056267935</v>
      </c>
      <c r="R457" s="97">
        <v>42000</v>
      </c>
      <c r="S457" s="55" t="s">
        <v>843</v>
      </c>
      <c r="T457" s="92" t="s">
        <v>773</v>
      </c>
      <c r="X457" s="190"/>
    </row>
    <row r="458" spans="1:24" s="43" customFormat="1" ht="15">
      <c r="A458" s="96">
        <f>A457+1</f>
        <v>351</v>
      </c>
      <c r="B458" s="88" t="s">
        <v>789</v>
      </c>
      <c r="C458" s="92">
        <v>1976</v>
      </c>
      <c r="D458" s="92"/>
      <c r="E458" s="92" t="s">
        <v>94</v>
      </c>
      <c r="F458" s="10">
        <v>4</v>
      </c>
      <c r="G458" s="10">
        <v>4</v>
      </c>
      <c r="H458" s="86">
        <v>3463.77</v>
      </c>
      <c r="I458" s="86">
        <v>2559.66</v>
      </c>
      <c r="J458" s="86">
        <v>2028.53</v>
      </c>
      <c r="K458" s="10">
        <v>175</v>
      </c>
      <c r="L458" s="97">
        <f>'виды работ  (2)'!C457</f>
        <v>254897</v>
      </c>
      <c r="M458" s="86">
        <v>0</v>
      </c>
      <c r="N458" s="86">
        <v>0</v>
      </c>
      <c r="O458" s="86">
        <v>0</v>
      </c>
      <c r="P458" s="86">
        <f>L458</f>
        <v>254897</v>
      </c>
      <c r="Q458" s="86">
        <f t="shared" si="94"/>
        <v>73.58947043250562</v>
      </c>
      <c r="R458" s="97">
        <v>42000</v>
      </c>
      <c r="S458" s="55" t="s">
        <v>843</v>
      </c>
      <c r="T458" s="92" t="s">
        <v>773</v>
      </c>
      <c r="X458" s="190"/>
    </row>
    <row r="459" spans="1:24" s="186" customFormat="1" ht="15">
      <c r="A459" s="117" t="s">
        <v>597</v>
      </c>
      <c r="B459" s="117"/>
      <c r="C459" s="86" t="s">
        <v>430</v>
      </c>
      <c r="D459" s="86" t="s">
        <v>430</v>
      </c>
      <c r="E459" s="86" t="s">
        <v>430</v>
      </c>
      <c r="F459" s="86" t="s">
        <v>430</v>
      </c>
      <c r="G459" s="86" t="s">
        <v>430</v>
      </c>
      <c r="H459" s="97">
        <f>SUM(H454:H458)</f>
        <v>8652.52</v>
      </c>
      <c r="I459" s="97">
        <f aca="true" t="shared" si="95" ref="I459:P459">SUM(I454:I458)</f>
        <v>6020.01</v>
      </c>
      <c r="J459" s="97">
        <f t="shared" si="95"/>
        <v>4655.33</v>
      </c>
      <c r="K459" s="97">
        <f t="shared" si="95"/>
        <v>415</v>
      </c>
      <c r="L459" s="97">
        <f>SUM(L454:L458)</f>
        <v>3919173</v>
      </c>
      <c r="M459" s="97">
        <f t="shared" si="95"/>
        <v>0</v>
      </c>
      <c r="N459" s="97">
        <f t="shared" si="95"/>
        <v>0</v>
      </c>
      <c r="O459" s="97">
        <f t="shared" si="95"/>
        <v>0</v>
      </c>
      <c r="P459" s="97">
        <f t="shared" si="95"/>
        <v>3919173</v>
      </c>
      <c r="Q459" s="97">
        <f t="shared" si="94"/>
        <v>452.9516256535668</v>
      </c>
      <c r="R459" s="56" t="s">
        <v>430</v>
      </c>
      <c r="S459" s="56" t="s">
        <v>430</v>
      </c>
      <c r="T459" s="56" t="s">
        <v>430</v>
      </c>
      <c r="U459" s="190"/>
      <c r="X459" s="190"/>
    </row>
    <row r="460" spans="1:24" s="186" customFormat="1" ht="15">
      <c r="A460" s="124" t="s">
        <v>635</v>
      </c>
      <c r="B460" s="125"/>
      <c r="C460" s="125"/>
      <c r="D460" s="125"/>
      <c r="E460" s="126"/>
      <c r="F460" s="178"/>
      <c r="G460" s="178"/>
      <c r="H460" s="178"/>
      <c r="I460" s="178"/>
      <c r="J460" s="178"/>
      <c r="K460" s="178"/>
      <c r="L460" s="178"/>
      <c r="M460" s="178"/>
      <c r="N460" s="178"/>
      <c r="O460" s="178"/>
      <c r="P460" s="178"/>
      <c r="Q460" s="178"/>
      <c r="R460" s="178"/>
      <c r="S460" s="178"/>
      <c r="T460" s="178"/>
      <c r="X460" s="190"/>
    </row>
    <row r="461" spans="1:24" s="186" customFormat="1" ht="15">
      <c r="A461" s="96">
        <f>A458+1</f>
        <v>352</v>
      </c>
      <c r="B461" s="89" t="s">
        <v>356</v>
      </c>
      <c r="C461" s="92">
        <v>1980</v>
      </c>
      <c r="D461" s="95"/>
      <c r="E461" s="92" t="s">
        <v>411</v>
      </c>
      <c r="F461" s="95">
        <v>9</v>
      </c>
      <c r="G461" s="95">
        <v>12</v>
      </c>
      <c r="H461" s="97">
        <v>22019.1</v>
      </c>
      <c r="I461" s="97">
        <v>14983.8</v>
      </c>
      <c r="J461" s="97">
        <v>12618.93</v>
      </c>
      <c r="K461" s="97">
        <v>1008</v>
      </c>
      <c r="L461" s="97">
        <f>'виды работ  (2)'!C460</f>
        <v>891742</v>
      </c>
      <c r="M461" s="97">
        <v>0</v>
      </c>
      <c r="N461" s="97">
        <v>0</v>
      </c>
      <c r="O461" s="97">
        <v>0</v>
      </c>
      <c r="P461" s="97">
        <f aca="true" t="shared" si="96" ref="P461:P466">L461</f>
        <v>891742</v>
      </c>
      <c r="Q461" s="97">
        <f aca="true" t="shared" si="97" ref="Q461:Q467">L461/H461</f>
        <v>40.498567153062574</v>
      </c>
      <c r="R461" s="97">
        <v>42000</v>
      </c>
      <c r="S461" s="55" t="s">
        <v>843</v>
      </c>
      <c r="T461" s="92" t="s">
        <v>773</v>
      </c>
      <c r="X461" s="190"/>
    </row>
    <row r="462" spans="1:24" s="186" customFormat="1" ht="15">
      <c r="A462" s="96">
        <f>A461+1</f>
        <v>353</v>
      </c>
      <c r="B462" s="89" t="s">
        <v>357</v>
      </c>
      <c r="C462" s="92">
        <v>1983</v>
      </c>
      <c r="D462" s="95"/>
      <c r="E462" s="92" t="s">
        <v>411</v>
      </c>
      <c r="F462" s="95">
        <v>9</v>
      </c>
      <c r="G462" s="95">
        <v>7</v>
      </c>
      <c r="H462" s="97">
        <v>12831.6</v>
      </c>
      <c r="I462" s="97">
        <v>8745.51</v>
      </c>
      <c r="J462" s="97">
        <v>6773.54</v>
      </c>
      <c r="K462" s="97">
        <v>584</v>
      </c>
      <c r="L462" s="97">
        <f>'виды работ  (2)'!C461</f>
        <v>222936</v>
      </c>
      <c r="M462" s="97">
        <v>0</v>
      </c>
      <c r="N462" s="97">
        <v>0</v>
      </c>
      <c r="O462" s="97">
        <v>0</v>
      </c>
      <c r="P462" s="97">
        <f t="shared" si="96"/>
        <v>222936</v>
      </c>
      <c r="Q462" s="97">
        <f t="shared" si="97"/>
        <v>17.37398297951931</v>
      </c>
      <c r="R462" s="97">
        <v>42000</v>
      </c>
      <c r="S462" s="55" t="s">
        <v>843</v>
      </c>
      <c r="T462" s="92" t="s">
        <v>773</v>
      </c>
      <c r="X462" s="190"/>
    </row>
    <row r="463" spans="1:24" s="186" customFormat="1" ht="15">
      <c r="A463" s="96">
        <f>A462+1</f>
        <v>354</v>
      </c>
      <c r="B463" s="89" t="s">
        <v>358</v>
      </c>
      <c r="C463" s="92">
        <v>1985</v>
      </c>
      <c r="D463" s="95"/>
      <c r="E463" s="92" t="s">
        <v>411</v>
      </c>
      <c r="F463" s="95">
        <v>12</v>
      </c>
      <c r="G463" s="95">
        <v>1</v>
      </c>
      <c r="H463" s="97">
        <v>3719.8</v>
      </c>
      <c r="I463" s="97">
        <v>2047.3</v>
      </c>
      <c r="J463" s="97">
        <v>1711.6</v>
      </c>
      <c r="K463" s="97">
        <v>164</v>
      </c>
      <c r="L463" s="97">
        <f>'виды работ  (2)'!C462</f>
        <v>249939</v>
      </c>
      <c r="M463" s="97">
        <v>0</v>
      </c>
      <c r="N463" s="97">
        <v>0</v>
      </c>
      <c r="O463" s="97">
        <v>0</v>
      </c>
      <c r="P463" s="97">
        <f t="shared" si="96"/>
        <v>249939</v>
      </c>
      <c r="Q463" s="97">
        <f t="shared" si="97"/>
        <v>67.19151567288563</v>
      </c>
      <c r="R463" s="97">
        <v>42000</v>
      </c>
      <c r="S463" s="55" t="s">
        <v>843</v>
      </c>
      <c r="T463" s="92" t="s">
        <v>773</v>
      </c>
      <c r="X463" s="190"/>
    </row>
    <row r="464" spans="1:24" s="186" customFormat="1" ht="15">
      <c r="A464" s="96">
        <f>A463+1</f>
        <v>355</v>
      </c>
      <c r="B464" s="89" t="s">
        <v>359</v>
      </c>
      <c r="C464" s="92">
        <v>1985</v>
      </c>
      <c r="D464" s="95"/>
      <c r="E464" s="92" t="s">
        <v>411</v>
      </c>
      <c r="F464" s="95">
        <v>12</v>
      </c>
      <c r="G464" s="95">
        <v>1</v>
      </c>
      <c r="H464" s="97">
        <v>3750.9</v>
      </c>
      <c r="I464" s="97">
        <v>2085.84</v>
      </c>
      <c r="J464" s="97">
        <v>1825.64</v>
      </c>
      <c r="K464" s="97">
        <v>176</v>
      </c>
      <c r="L464" s="97">
        <f>'виды работ  (2)'!C463</f>
        <v>249939</v>
      </c>
      <c r="M464" s="97">
        <v>0</v>
      </c>
      <c r="N464" s="97">
        <v>0</v>
      </c>
      <c r="O464" s="97">
        <v>0</v>
      </c>
      <c r="P464" s="97">
        <f t="shared" si="96"/>
        <v>249939</v>
      </c>
      <c r="Q464" s="97">
        <f t="shared" si="97"/>
        <v>66.63440774214189</v>
      </c>
      <c r="R464" s="97">
        <v>42000</v>
      </c>
      <c r="S464" s="55" t="s">
        <v>843</v>
      </c>
      <c r="T464" s="92" t="s">
        <v>773</v>
      </c>
      <c r="X464" s="190"/>
    </row>
    <row r="465" spans="1:24" s="186" customFormat="1" ht="15">
      <c r="A465" s="96">
        <f>A464+1</f>
        <v>356</v>
      </c>
      <c r="B465" s="89" t="s">
        <v>360</v>
      </c>
      <c r="C465" s="92">
        <v>1985</v>
      </c>
      <c r="D465" s="95"/>
      <c r="E465" s="92" t="s">
        <v>411</v>
      </c>
      <c r="F465" s="95">
        <v>12</v>
      </c>
      <c r="G465" s="95">
        <v>1</v>
      </c>
      <c r="H465" s="97">
        <v>3750.9</v>
      </c>
      <c r="I465" s="97">
        <v>2088.53</v>
      </c>
      <c r="J465" s="97">
        <v>1795.63</v>
      </c>
      <c r="K465" s="97">
        <v>184</v>
      </c>
      <c r="L465" s="97">
        <f>'виды работ  (2)'!C464</f>
        <v>249939</v>
      </c>
      <c r="M465" s="97">
        <v>0</v>
      </c>
      <c r="N465" s="97">
        <v>0</v>
      </c>
      <c r="O465" s="97">
        <v>0</v>
      </c>
      <c r="P465" s="97">
        <f t="shared" si="96"/>
        <v>249939</v>
      </c>
      <c r="Q465" s="97">
        <f t="shared" si="97"/>
        <v>66.63440774214189</v>
      </c>
      <c r="R465" s="97">
        <v>42000</v>
      </c>
      <c r="S465" s="55" t="s">
        <v>843</v>
      </c>
      <c r="T465" s="92" t="s">
        <v>773</v>
      </c>
      <c r="X465" s="190"/>
    </row>
    <row r="466" spans="1:24" s="186" customFormat="1" ht="15">
      <c r="A466" s="96">
        <f>A465+1</f>
        <v>357</v>
      </c>
      <c r="B466" s="89" t="s">
        <v>361</v>
      </c>
      <c r="C466" s="92">
        <v>1985</v>
      </c>
      <c r="D466" s="95"/>
      <c r="E466" s="92" t="s">
        <v>411</v>
      </c>
      <c r="F466" s="95">
        <v>12</v>
      </c>
      <c r="G466" s="95">
        <v>1</v>
      </c>
      <c r="H466" s="97">
        <v>3898</v>
      </c>
      <c r="I466" s="97">
        <v>2155.17</v>
      </c>
      <c r="J466" s="97">
        <v>1846.17</v>
      </c>
      <c r="K466" s="97">
        <v>186</v>
      </c>
      <c r="L466" s="97">
        <f>'виды работ  (2)'!C465</f>
        <v>1249695</v>
      </c>
      <c r="M466" s="97">
        <v>0</v>
      </c>
      <c r="N466" s="97">
        <v>0</v>
      </c>
      <c r="O466" s="97">
        <v>0</v>
      </c>
      <c r="P466" s="97">
        <f t="shared" si="96"/>
        <v>1249695</v>
      </c>
      <c r="Q466" s="97">
        <f t="shared" si="97"/>
        <v>320.599025141098</v>
      </c>
      <c r="R466" s="97">
        <v>42000</v>
      </c>
      <c r="S466" s="55" t="s">
        <v>843</v>
      </c>
      <c r="T466" s="92" t="s">
        <v>773</v>
      </c>
      <c r="X466" s="190"/>
    </row>
    <row r="467" spans="1:24" s="186" customFormat="1" ht="15">
      <c r="A467" s="117" t="s">
        <v>597</v>
      </c>
      <c r="B467" s="117"/>
      <c r="C467" s="86" t="s">
        <v>430</v>
      </c>
      <c r="D467" s="86" t="s">
        <v>430</v>
      </c>
      <c r="E467" s="86" t="s">
        <v>430</v>
      </c>
      <c r="F467" s="86" t="s">
        <v>430</v>
      </c>
      <c r="G467" s="86" t="s">
        <v>430</v>
      </c>
      <c r="H467" s="97">
        <f>SUM(H461:H466)</f>
        <v>49970.3</v>
      </c>
      <c r="I467" s="97">
        <f aca="true" t="shared" si="98" ref="I467:P467">SUM(I461:I466)</f>
        <v>32106.149999999994</v>
      </c>
      <c r="J467" s="97">
        <f t="shared" si="98"/>
        <v>26571.510000000002</v>
      </c>
      <c r="K467" s="97">
        <f t="shared" si="98"/>
        <v>2302</v>
      </c>
      <c r="L467" s="97">
        <f t="shared" si="98"/>
        <v>3114190</v>
      </c>
      <c r="M467" s="97">
        <f t="shared" si="98"/>
        <v>0</v>
      </c>
      <c r="N467" s="97">
        <f t="shared" si="98"/>
        <v>0</v>
      </c>
      <c r="O467" s="97">
        <f t="shared" si="98"/>
        <v>0</v>
      </c>
      <c r="P467" s="97">
        <f t="shared" si="98"/>
        <v>3114190</v>
      </c>
      <c r="Q467" s="97">
        <f t="shared" si="97"/>
        <v>62.32081856622833</v>
      </c>
      <c r="R467" s="56" t="s">
        <v>430</v>
      </c>
      <c r="S467" s="56" t="s">
        <v>430</v>
      </c>
      <c r="T467" s="56" t="s">
        <v>430</v>
      </c>
      <c r="U467" s="190"/>
      <c r="X467" s="190"/>
    </row>
    <row r="468" spans="1:24" s="186" customFormat="1" ht="15">
      <c r="A468" s="105" t="s">
        <v>686</v>
      </c>
      <c r="B468" s="110"/>
      <c r="C468" s="110"/>
      <c r="D468" s="110"/>
      <c r="E468" s="106"/>
      <c r="F468" s="178"/>
      <c r="G468" s="178"/>
      <c r="H468" s="178"/>
      <c r="I468" s="178"/>
      <c r="J468" s="178"/>
      <c r="K468" s="178"/>
      <c r="L468" s="178"/>
      <c r="M468" s="178"/>
      <c r="N468" s="178"/>
      <c r="O468" s="178"/>
      <c r="P468" s="178"/>
      <c r="Q468" s="178"/>
      <c r="R468" s="178"/>
      <c r="S468" s="178"/>
      <c r="T468" s="178"/>
      <c r="X468" s="190"/>
    </row>
    <row r="469" spans="1:24" s="186" customFormat="1" ht="15">
      <c r="A469" s="96">
        <f>A466+1</f>
        <v>358</v>
      </c>
      <c r="B469" s="188" t="s">
        <v>362</v>
      </c>
      <c r="C469" s="92">
        <v>1965</v>
      </c>
      <c r="D469" s="95"/>
      <c r="E469" s="92" t="s">
        <v>94</v>
      </c>
      <c r="F469" s="95">
        <v>5</v>
      </c>
      <c r="G469" s="95">
        <v>4</v>
      </c>
      <c r="H469" s="97">
        <v>3772</v>
      </c>
      <c r="I469" s="97">
        <v>3486.55</v>
      </c>
      <c r="J469" s="97">
        <v>3079.78</v>
      </c>
      <c r="K469" s="95">
        <v>114</v>
      </c>
      <c r="L469" s="97">
        <f>'виды работ  (2)'!C468</f>
        <v>3008519</v>
      </c>
      <c r="M469" s="97">
        <v>0</v>
      </c>
      <c r="N469" s="97">
        <v>0</v>
      </c>
      <c r="O469" s="97">
        <v>0</v>
      </c>
      <c r="P469" s="97">
        <f aca="true" t="shared" si="99" ref="P469:P490">L469</f>
        <v>3008519</v>
      </c>
      <c r="Q469" s="97">
        <f aca="true" t="shared" si="100" ref="Q469:Q492">L469/H469</f>
        <v>797.5925238600212</v>
      </c>
      <c r="R469" s="97">
        <v>42000</v>
      </c>
      <c r="S469" s="55" t="s">
        <v>843</v>
      </c>
      <c r="T469" s="92" t="s">
        <v>773</v>
      </c>
      <c r="X469" s="190"/>
    </row>
    <row r="470" spans="1:24" s="186" customFormat="1" ht="15">
      <c r="A470" s="96">
        <f>A469+1</f>
        <v>359</v>
      </c>
      <c r="B470" s="188" t="s">
        <v>363</v>
      </c>
      <c r="C470" s="92">
        <v>1966</v>
      </c>
      <c r="D470" s="95"/>
      <c r="E470" s="92" t="s">
        <v>94</v>
      </c>
      <c r="F470" s="95">
        <v>5</v>
      </c>
      <c r="G470" s="95">
        <v>4</v>
      </c>
      <c r="H470" s="97">
        <v>3744.84</v>
      </c>
      <c r="I470" s="97">
        <v>2779.97</v>
      </c>
      <c r="J470" s="97">
        <v>2400.38</v>
      </c>
      <c r="K470" s="210">
        <v>110</v>
      </c>
      <c r="L470" s="97">
        <f>'виды работ  (2)'!C469</f>
        <v>3103420</v>
      </c>
      <c r="M470" s="97">
        <v>0</v>
      </c>
      <c r="N470" s="97">
        <v>0</v>
      </c>
      <c r="O470" s="97">
        <v>0</v>
      </c>
      <c r="P470" s="97">
        <f>L470</f>
        <v>3103420</v>
      </c>
      <c r="Q470" s="97">
        <f>L470/H470</f>
        <v>828.718983988635</v>
      </c>
      <c r="R470" s="97">
        <v>42000</v>
      </c>
      <c r="S470" s="55" t="s">
        <v>843</v>
      </c>
      <c r="T470" s="92" t="s">
        <v>773</v>
      </c>
      <c r="X470" s="190"/>
    </row>
    <row r="471" spans="1:24" s="186" customFormat="1" ht="15">
      <c r="A471" s="96">
        <f aca="true" t="shared" si="101" ref="A471:A490">A470+1</f>
        <v>360</v>
      </c>
      <c r="B471" s="188" t="s">
        <v>381</v>
      </c>
      <c r="C471" s="92">
        <v>1959</v>
      </c>
      <c r="D471" s="95"/>
      <c r="E471" s="92" t="s">
        <v>94</v>
      </c>
      <c r="F471" s="95">
        <v>3</v>
      </c>
      <c r="G471" s="95">
        <v>4</v>
      </c>
      <c r="H471" s="97">
        <v>2055</v>
      </c>
      <c r="I471" s="97">
        <v>1748.86</v>
      </c>
      <c r="J471" s="97">
        <v>1388.18</v>
      </c>
      <c r="K471" s="95">
        <v>61</v>
      </c>
      <c r="L471" s="97">
        <f>'виды работ  (2)'!C470</f>
        <v>1927765</v>
      </c>
      <c r="M471" s="97">
        <v>0</v>
      </c>
      <c r="N471" s="97">
        <v>0</v>
      </c>
      <c r="O471" s="97">
        <v>0</v>
      </c>
      <c r="P471" s="97">
        <f t="shared" si="99"/>
        <v>1927765</v>
      </c>
      <c r="Q471" s="97">
        <f t="shared" si="100"/>
        <v>938.0851581508516</v>
      </c>
      <c r="R471" s="97">
        <v>42000</v>
      </c>
      <c r="S471" s="55" t="s">
        <v>843</v>
      </c>
      <c r="T471" s="92" t="s">
        <v>773</v>
      </c>
      <c r="X471" s="190"/>
    </row>
    <row r="472" spans="1:24" s="43" customFormat="1" ht="15">
      <c r="A472" s="96">
        <f t="shared" si="101"/>
        <v>361</v>
      </c>
      <c r="B472" s="88" t="s">
        <v>757</v>
      </c>
      <c r="C472" s="95">
        <v>1973</v>
      </c>
      <c r="D472" s="95"/>
      <c r="E472" s="92" t="s">
        <v>94</v>
      </c>
      <c r="F472" s="95">
        <v>5</v>
      </c>
      <c r="G472" s="95">
        <v>5</v>
      </c>
      <c r="H472" s="97">
        <v>4724.56</v>
      </c>
      <c r="I472" s="97">
        <v>3548.96</v>
      </c>
      <c r="J472" s="97">
        <v>2970.59</v>
      </c>
      <c r="K472" s="95">
        <v>130</v>
      </c>
      <c r="L472" s="97">
        <f>'виды работ  (2)'!C471</f>
        <v>3530178</v>
      </c>
      <c r="M472" s="86">
        <v>0</v>
      </c>
      <c r="N472" s="86">
        <v>0</v>
      </c>
      <c r="O472" s="86">
        <v>0</v>
      </c>
      <c r="P472" s="86">
        <f>L472</f>
        <v>3530178</v>
      </c>
      <c r="Q472" s="86">
        <f>L472/H472</f>
        <v>747.1971993159151</v>
      </c>
      <c r="R472" s="97">
        <v>42000</v>
      </c>
      <c r="S472" s="55" t="s">
        <v>843</v>
      </c>
      <c r="T472" s="92" t="s">
        <v>773</v>
      </c>
      <c r="X472" s="190"/>
    </row>
    <row r="473" spans="1:24" s="186" customFormat="1" ht="15">
      <c r="A473" s="96">
        <f t="shared" si="101"/>
        <v>362</v>
      </c>
      <c r="B473" s="188" t="s">
        <v>382</v>
      </c>
      <c r="C473" s="92">
        <v>1896</v>
      </c>
      <c r="D473" s="95"/>
      <c r="E473" s="92" t="s">
        <v>94</v>
      </c>
      <c r="F473" s="95">
        <v>3</v>
      </c>
      <c r="G473" s="95">
        <v>1</v>
      </c>
      <c r="H473" s="97">
        <v>528.1</v>
      </c>
      <c r="I473" s="97">
        <v>364.5</v>
      </c>
      <c r="J473" s="97">
        <v>226.9</v>
      </c>
      <c r="K473" s="95">
        <v>18</v>
      </c>
      <c r="L473" s="97">
        <f>'виды работ  (2)'!C472</f>
        <v>1050344</v>
      </c>
      <c r="M473" s="97">
        <v>0</v>
      </c>
      <c r="N473" s="97">
        <v>0</v>
      </c>
      <c r="O473" s="97">
        <v>0</v>
      </c>
      <c r="P473" s="97">
        <f t="shared" si="99"/>
        <v>1050344</v>
      </c>
      <c r="Q473" s="97">
        <f t="shared" si="100"/>
        <v>1988.9111910622987</v>
      </c>
      <c r="R473" s="97">
        <v>42000</v>
      </c>
      <c r="S473" s="55" t="s">
        <v>843</v>
      </c>
      <c r="T473" s="92" t="s">
        <v>773</v>
      </c>
      <c r="X473" s="190"/>
    </row>
    <row r="474" spans="1:24" s="186" customFormat="1" ht="15">
      <c r="A474" s="96">
        <f t="shared" si="101"/>
        <v>363</v>
      </c>
      <c r="B474" s="188" t="s">
        <v>364</v>
      </c>
      <c r="C474" s="92">
        <v>1985</v>
      </c>
      <c r="D474" s="95"/>
      <c r="E474" s="92" t="s">
        <v>94</v>
      </c>
      <c r="F474" s="95">
        <v>5</v>
      </c>
      <c r="G474" s="95">
        <v>2</v>
      </c>
      <c r="H474" s="97">
        <v>4808.8</v>
      </c>
      <c r="I474" s="97">
        <v>3163.1</v>
      </c>
      <c r="J474" s="97">
        <v>2561</v>
      </c>
      <c r="K474" s="210">
        <v>152</v>
      </c>
      <c r="L474" s="97">
        <f>'виды работ  (2)'!C473</f>
        <v>197860</v>
      </c>
      <c r="M474" s="97">
        <v>0</v>
      </c>
      <c r="N474" s="97">
        <v>0</v>
      </c>
      <c r="O474" s="97">
        <v>0</v>
      </c>
      <c r="P474" s="97">
        <f t="shared" si="99"/>
        <v>197860</v>
      </c>
      <c r="Q474" s="97">
        <f t="shared" si="100"/>
        <v>41.145400099817</v>
      </c>
      <c r="R474" s="97">
        <v>42000</v>
      </c>
      <c r="S474" s="55" t="s">
        <v>843</v>
      </c>
      <c r="T474" s="92" t="s">
        <v>773</v>
      </c>
      <c r="X474" s="190"/>
    </row>
    <row r="475" spans="1:24" s="186" customFormat="1" ht="15">
      <c r="A475" s="96">
        <f t="shared" si="101"/>
        <v>364</v>
      </c>
      <c r="B475" s="188" t="s">
        <v>369</v>
      </c>
      <c r="C475" s="92">
        <v>1950</v>
      </c>
      <c r="D475" s="95"/>
      <c r="E475" s="92" t="s">
        <v>700</v>
      </c>
      <c r="F475" s="95">
        <v>2</v>
      </c>
      <c r="G475" s="95">
        <v>2</v>
      </c>
      <c r="H475" s="97">
        <v>711.1</v>
      </c>
      <c r="I475" s="97">
        <v>671.04</v>
      </c>
      <c r="J475" s="97">
        <v>513.03</v>
      </c>
      <c r="K475" s="95">
        <v>14</v>
      </c>
      <c r="L475" s="97">
        <f>'виды работ  (2)'!C474</f>
        <v>1785584</v>
      </c>
      <c r="M475" s="97">
        <v>0</v>
      </c>
      <c r="N475" s="97">
        <v>0</v>
      </c>
      <c r="O475" s="97">
        <v>0</v>
      </c>
      <c r="P475" s="97">
        <f t="shared" si="99"/>
        <v>1785584</v>
      </c>
      <c r="Q475" s="97">
        <f t="shared" si="100"/>
        <v>2511.0167346364788</v>
      </c>
      <c r="R475" s="97">
        <v>42000</v>
      </c>
      <c r="S475" s="55" t="s">
        <v>843</v>
      </c>
      <c r="T475" s="92" t="s">
        <v>773</v>
      </c>
      <c r="X475" s="190"/>
    </row>
    <row r="476" spans="1:24" s="186" customFormat="1" ht="15">
      <c r="A476" s="96">
        <f t="shared" si="101"/>
        <v>365</v>
      </c>
      <c r="B476" s="188" t="s">
        <v>370</v>
      </c>
      <c r="C476" s="92">
        <v>1950</v>
      </c>
      <c r="D476" s="95"/>
      <c r="E476" s="92" t="s">
        <v>700</v>
      </c>
      <c r="F476" s="95">
        <v>2</v>
      </c>
      <c r="G476" s="95">
        <v>2</v>
      </c>
      <c r="H476" s="97">
        <v>788.1</v>
      </c>
      <c r="I476" s="97">
        <v>683.51</v>
      </c>
      <c r="J476" s="97">
        <v>613.26</v>
      </c>
      <c r="K476" s="95">
        <v>38</v>
      </c>
      <c r="L476" s="97">
        <f>'виды работ  (2)'!C475</f>
        <v>1826437</v>
      </c>
      <c r="M476" s="97">
        <v>0</v>
      </c>
      <c r="N476" s="97">
        <v>0</v>
      </c>
      <c r="O476" s="97">
        <v>0</v>
      </c>
      <c r="P476" s="97">
        <f t="shared" si="99"/>
        <v>1826437</v>
      </c>
      <c r="Q476" s="97">
        <f t="shared" si="100"/>
        <v>2317.5193503362516</v>
      </c>
      <c r="R476" s="97">
        <v>42000</v>
      </c>
      <c r="S476" s="55" t="s">
        <v>843</v>
      </c>
      <c r="T476" s="92" t="s">
        <v>773</v>
      </c>
      <c r="X476" s="190"/>
    </row>
    <row r="477" spans="1:24" s="186" customFormat="1" ht="15">
      <c r="A477" s="96">
        <f t="shared" si="101"/>
        <v>366</v>
      </c>
      <c r="B477" s="188" t="s">
        <v>371</v>
      </c>
      <c r="C477" s="92">
        <v>1951</v>
      </c>
      <c r="D477" s="95"/>
      <c r="E477" s="92" t="s">
        <v>700</v>
      </c>
      <c r="F477" s="95">
        <v>2</v>
      </c>
      <c r="G477" s="95">
        <v>2</v>
      </c>
      <c r="H477" s="97">
        <v>755.1</v>
      </c>
      <c r="I477" s="97">
        <v>677.8</v>
      </c>
      <c r="J477" s="97">
        <v>677.8</v>
      </c>
      <c r="K477" s="95">
        <v>27</v>
      </c>
      <c r="L477" s="97">
        <f>'виды работ  (2)'!C476</f>
        <v>1837561</v>
      </c>
      <c r="M477" s="97">
        <v>0</v>
      </c>
      <c r="N477" s="97">
        <v>0</v>
      </c>
      <c r="O477" s="97">
        <v>0</v>
      </c>
      <c r="P477" s="97">
        <f t="shared" si="99"/>
        <v>1837561</v>
      </c>
      <c r="Q477" s="97">
        <f t="shared" si="100"/>
        <v>2433.5333068467753</v>
      </c>
      <c r="R477" s="97">
        <v>42000</v>
      </c>
      <c r="S477" s="55" t="s">
        <v>843</v>
      </c>
      <c r="T477" s="92" t="s">
        <v>773</v>
      </c>
      <c r="X477" s="190"/>
    </row>
    <row r="478" spans="1:24" s="186" customFormat="1" ht="15">
      <c r="A478" s="96">
        <f t="shared" si="101"/>
        <v>367</v>
      </c>
      <c r="B478" s="188" t="s">
        <v>365</v>
      </c>
      <c r="C478" s="92">
        <v>1950</v>
      </c>
      <c r="D478" s="95"/>
      <c r="E478" s="92" t="s">
        <v>700</v>
      </c>
      <c r="F478" s="95">
        <v>2</v>
      </c>
      <c r="G478" s="95">
        <v>2</v>
      </c>
      <c r="H478" s="97">
        <v>764.41</v>
      </c>
      <c r="I478" s="97">
        <v>665.28</v>
      </c>
      <c r="J478" s="97">
        <v>628.02</v>
      </c>
      <c r="K478" s="95">
        <v>52</v>
      </c>
      <c r="L478" s="97">
        <f>'виды работ  (2)'!C477</f>
        <v>1847440</v>
      </c>
      <c r="M478" s="97">
        <v>0</v>
      </c>
      <c r="N478" s="97">
        <v>0</v>
      </c>
      <c r="O478" s="97">
        <v>0</v>
      </c>
      <c r="P478" s="97">
        <f t="shared" si="99"/>
        <v>1847440</v>
      </c>
      <c r="Q478" s="97">
        <f t="shared" si="100"/>
        <v>2416.818199657252</v>
      </c>
      <c r="R478" s="97">
        <v>42000</v>
      </c>
      <c r="S478" s="55" t="s">
        <v>843</v>
      </c>
      <c r="T478" s="92" t="s">
        <v>773</v>
      </c>
      <c r="X478" s="190"/>
    </row>
    <row r="479" spans="1:24" s="186" customFormat="1" ht="15">
      <c r="A479" s="96">
        <f t="shared" si="101"/>
        <v>368</v>
      </c>
      <c r="B479" s="188" t="s">
        <v>366</v>
      </c>
      <c r="C479" s="92">
        <v>1950</v>
      </c>
      <c r="D479" s="95"/>
      <c r="E479" s="92" t="s">
        <v>700</v>
      </c>
      <c r="F479" s="95">
        <v>2</v>
      </c>
      <c r="G479" s="95">
        <v>2</v>
      </c>
      <c r="H479" s="97">
        <v>780.3</v>
      </c>
      <c r="I479" s="97">
        <v>695.72</v>
      </c>
      <c r="J479" s="97">
        <v>621.6</v>
      </c>
      <c r="K479" s="95">
        <v>29</v>
      </c>
      <c r="L479" s="97">
        <f>'виды работ  (2)'!C478</f>
        <v>1851517</v>
      </c>
      <c r="M479" s="97">
        <v>0</v>
      </c>
      <c r="N479" s="97">
        <v>0</v>
      </c>
      <c r="O479" s="97">
        <v>0</v>
      </c>
      <c r="P479" s="97">
        <f t="shared" si="99"/>
        <v>1851517</v>
      </c>
      <c r="Q479" s="97">
        <f t="shared" si="100"/>
        <v>2372.827117775215</v>
      </c>
      <c r="R479" s="97">
        <v>42000</v>
      </c>
      <c r="S479" s="55" t="s">
        <v>843</v>
      </c>
      <c r="T479" s="92" t="s">
        <v>773</v>
      </c>
      <c r="X479" s="190"/>
    </row>
    <row r="480" spans="1:24" s="186" customFormat="1" ht="15">
      <c r="A480" s="96">
        <f t="shared" si="101"/>
        <v>369</v>
      </c>
      <c r="B480" s="188" t="s">
        <v>367</v>
      </c>
      <c r="C480" s="92">
        <v>1953</v>
      </c>
      <c r="D480" s="95"/>
      <c r="E480" s="92" t="s">
        <v>700</v>
      </c>
      <c r="F480" s="95">
        <v>2</v>
      </c>
      <c r="G480" s="95">
        <v>1</v>
      </c>
      <c r="H480" s="97">
        <v>589.4</v>
      </c>
      <c r="I480" s="97">
        <v>541.77</v>
      </c>
      <c r="J480" s="97">
        <v>541.77</v>
      </c>
      <c r="K480" s="95">
        <v>23</v>
      </c>
      <c r="L480" s="97">
        <f>'виды работ  (2)'!C479</f>
        <v>92489</v>
      </c>
      <c r="M480" s="97">
        <v>0</v>
      </c>
      <c r="N480" s="97">
        <v>0</v>
      </c>
      <c r="O480" s="97">
        <v>0</v>
      </c>
      <c r="P480" s="97">
        <f t="shared" si="99"/>
        <v>92489</v>
      </c>
      <c r="Q480" s="97">
        <f t="shared" si="100"/>
        <v>156.92059721750934</v>
      </c>
      <c r="R480" s="97">
        <v>42000</v>
      </c>
      <c r="S480" s="55" t="s">
        <v>843</v>
      </c>
      <c r="T480" s="92" t="s">
        <v>773</v>
      </c>
      <c r="X480" s="190"/>
    </row>
    <row r="481" spans="1:24" s="186" customFormat="1" ht="15">
      <c r="A481" s="96">
        <f t="shared" si="101"/>
        <v>370</v>
      </c>
      <c r="B481" s="188" t="s">
        <v>368</v>
      </c>
      <c r="C481" s="92">
        <v>1951</v>
      </c>
      <c r="D481" s="95"/>
      <c r="E481" s="92" t="s">
        <v>700</v>
      </c>
      <c r="F481" s="95">
        <v>2</v>
      </c>
      <c r="G481" s="95">
        <v>2</v>
      </c>
      <c r="H481" s="97">
        <v>780.5</v>
      </c>
      <c r="I481" s="97">
        <v>674.2</v>
      </c>
      <c r="J481" s="97">
        <v>440.21</v>
      </c>
      <c r="K481" s="95">
        <v>28</v>
      </c>
      <c r="L481" s="97">
        <f>'виды работ  (2)'!C480</f>
        <v>1831841</v>
      </c>
      <c r="M481" s="97">
        <v>0</v>
      </c>
      <c r="N481" s="97">
        <v>0</v>
      </c>
      <c r="O481" s="97">
        <v>0</v>
      </c>
      <c r="P481" s="97">
        <f t="shared" si="99"/>
        <v>1831841</v>
      </c>
      <c r="Q481" s="97">
        <f t="shared" si="100"/>
        <v>2347.009609224856</v>
      </c>
      <c r="R481" s="97">
        <v>42000</v>
      </c>
      <c r="S481" s="55" t="s">
        <v>843</v>
      </c>
      <c r="T481" s="92" t="s">
        <v>773</v>
      </c>
      <c r="X481" s="190"/>
    </row>
    <row r="482" spans="1:24" s="186" customFormat="1" ht="15">
      <c r="A482" s="96">
        <f t="shared" si="101"/>
        <v>371</v>
      </c>
      <c r="B482" s="188" t="s">
        <v>372</v>
      </c>
      <c r="C482" s="92">
        <v>1950</v>
      </c>
      <c r="D482" s="95"/>
      <c r="E482" s="92" t="s">
        <v>94</v>
      </c>
      <c r="F482" s="95">
        <v>2</v>
      </c>
      <c r="G482" s="95">
        <v>2</v>
      </c>
      <c r="H482" s="97">
        <v>775.6</v>
      </c>
      <c r="I482" s="97">
        <v>658.31</v>
      </c>
      <c r="J482" s="97">
        <v>508.87</v>
      </c>
      <c r="K482" s="95">
        <v>45</v>
      </c>
      <c r="L482" s="97">
        <f>'виды работ  (2)'!C481</f>
        <v>1989403</v>
      </c>
      <c r="M482" s="97">
        <v>0</v>
      </c>
      <c r="N482" s="97">
        <v>0</v>
      </c>
      <c r="O482" s="97">
        <v>0</v>
      </c>
      <c r="P482" s="97">
        <f t="shared" si="99"/>
        <v>1989403</v>
      </c>
      <c r="Q482" s="97">
        <f t="shared" si="100"/>
        <v>2564.9858174316655</v>
      </c>
      <c r="R482" s="97">
        <v>42000</v>
      </c>
      <c r="S482" s="55" t="s">
        <v>843</v>
      </c>
      <c r="T482" s="92" t="s">
        <v>773</v>
      </c>
      <c r="X482" s="190"/>
    </row>
    <row r="483" spans="1:24" s="186" customFormat="1" ht="15">
      <c r="A483" s="96">
        <f t="shared" si="101"/>
        <v>372</v>
      </c>
      <c r="B483" s="188" t="s">
        <v>373</v>
      </c>
      <c r="C483" s="92">
        <v>1952</v>
      </c>
      <c r="D483" s="95"/>
      <c r="E483" s="92" t="s">
        <v>94</v>
      </c>
      <c r="F483" s="95">
        <v>2</v>
      </c>
      <c r="G483" s="95">
        <v>2</v>
      </c>
      <c r="H483" s="97">
        <v>975.7</v>
      </c>
      <c r="I483" s="97">
        <v>787.09</v>
      </c>
      <c r="J483" s="97">
        <v>740.8</v>
      </c>
      <c r="K483" s="95">
        <v>42</v>
      </c>
      <c r="L483" s="97">
        <f>'виды работ  (2)'!C482</f>
        <v>1703643</v>
      </c>
      <c r="M483" s="97">
        <v>0</v>
      </c>
      <c r="N483" s="97">
        <v>0</v>
      </c>
      <c r="O483" s="97">
        <v>0</v>
      </c>
      <c r="P483" s="97">
        <f t="shared" si="99"/>
        <v>1703643</v>
      </c>
      <c r="Q483" s="97">
        <f t="shared" si="100"/>
        <v>1746.0725632878957</v>
      </c>
      <c r="R483" s="97">
        <v>42000</v>
      </c>
      <c r="S483" s="55" t="s">
        <v>843</v>
      </c>
      <c r="T483" s="92" t="s">
        <v>773</v>
      </c>
      <c r="X483" s="190"/>
    </row>
    <row r="484" spans="1:24" s="186" customFormat="1" ht="15">
      <c r="A484" s="96">
        <f t="shared" si="101"/>
        <v>373</v>
      </c>
      <c r="B484" s="188" t="s">
        <v>374</v>
      </c>
      <c r="C484" s="92">
        <v>1952</v>
      </c>
      <c r="D484" s="95"/>
      <c r="E484" s="92" t="s">
        <v>94</v>
      </c>
      <c r="F484" s="95">
        <v>2</v>
      </c>
      <c r="G484" s="95">
        <v>2</v>
      </c>
      <c r="H484" s="97">
        <v>946.6</v>
      </c>
      <c r="I484" s="97">
        <v>757.31</v>
      </c>
      <c r="J484" s="97">
        <v>588.09</v>
      </c>
      <c r="K484" s="95">
        <v>44</v>
      </c>
      <c r="L484" s="97">
        <f>'виды работ  (2)'!C483</f>
        <v>1693406</v>
      </c>
      <c r="M484" s="97">
        <v>0</v>
      </c>
      <c r="N484" s="97">
        <v>0</v>
      </c>
      <c r="O484" s="97">
        <v>0</v>
      </c>
      <c r="P484" s="97">
        <f t="shared" si="99"/>
        <v>1693406</v>
      </c>
      <c r="Q484" s="97">
        <f t="shared" si="100"/>
        <v>1788.9351362772027</v>
      </c>
      <c r="R484" s="97">
        <v>42000</v>
      </c>
      <c r="S484" s="55" t="s">
        <v>843</v>
      </c>
      <c r="T484" s="92" t="s">
        <v>773</v>
      </c>
      <c r="X484" s="190"/>
    </row>
    <row r="485" spans="1:24" s="186" customFormat="1" ht="15">
      <c r="A485" s="96">
        <f t="shared" si="101"/>
        <v>374</v>
      </c>
      <c r="B485" s="188" t="s">
        <v>376</v>
      </c>
      <c r="C485" s="92">
        <v>1984</v>
      </c>
      <c r="D485" s="95"/>
      <c r="E485" s="92" t="s">
        <v>411</v>
      </c>
      <c r="F485" s="95">
        <v>9</v>
      </c>
      <c r="G485" s="95">
        <v>5</v>
      </c>
      <c r="H485" s="97">
        <v>11654.1</v>
      </c>
      <c r="I485" s="97">
        <v>10062.3</v>
      </c>
      <c r="J485" s="97">
        <v>8936.38</v>
      </c>
      <c r="K485" s="211">
        <v>488</v>
      </c>
      <c r="L485" s="97">
        <f>'виды работ  (2)'!C484</f>
        <v>12183515</v>
      </c>
      <c r="M485" s="97">
        <v>0</v>
      </c>
      <c r="N485" s="97">
        <v>0</v>
      </c>
      <c r="O485" s="97">
        <v>0</v>
      </c>
      <c r="P485" s="97">
        <f t="shared" si="99"/>
        <v>12183515</v>
      </c>
      <c r="Q485" s="97">
        <f t="shared" si="100"/>
        <v>1045.427360328125</v>
      </c>
      <c r="R485" s="97">
        <v>42000</v>
      </c>
      <c r="S485" s="55" t="s">
        <v>843</v>
      </c>
      <c r="T485" s="92" t="s">
        <v>773</v>
      </c>
      <c r="X485" s="190"/>
    </row>
    <row r="486" spans="1:24" s="186" customFormat="1" ht="15">
      <c r="A486" s="96">
        <f t="shared" si="101"/>
        <v>375</v>
      </c>
      <c r="B486" s="188" t="s">
        <v>377</v>
      </c>
      <c r="C486" s="92">
        <v>1983</v>
      </c>
      <c r="D486" s="95"/>
      <c r="E486" s="92" t="s">
        <v>411</v>
      </c>
      <c r="F486" s="95">
        <v>9</v>
      </c>
      <c r="G486" s="95">
        <v>5</v>
      </c>
      <c r="H486" s="97">
        <v>11742.9</v>
      </c>
      <c r="I486" s="97">
        <v>10115.39</v>
      </c>
      <c r="J486" s="97">
        <v>9271.56</v>
      </c>
      <c r="K486" s="211">
        <v>457</v>
      </c>
      <c r="L486" s="97">
        <f>'виды работ  (2)'!C485</f>
        <v>12183515</v>
      </c>
      <c r="M486" s="97">
        <v>0</v>
      </c>
      <c r="N486" s="97">
        <v>0</v>
      </c>
      <c r="O486" s="97">
        <v>0</v>
      </c>
      <c r="P486" s="97">
        <f t="shared" si="99"/>
        <v>12183515</v>
      </c>
      <c r="Q486" s="97">
        <f t="shared" si="100"/>
        <v>1037.5218216965145</v>
      </c>
      <c r="R486" s="97">
        <v>42000</v>
      </c>
      <c r="S486" s="55" t="s">
        <v>843</v>
      </c>
      <c r="T486" s="92" t="s">
        <v>773</v>
      </c>
      <c r="X486" s="190"/>
    </row>
    <row r="487" spans="1:24" s="186" customFormat="1" ht="15">
      <c r="A487" s="96">
        <f t="shared" si="101"/>
        <v>376</v>
      </c>
      <c r="B487" s="188" t="s">
        <v>378</v>
      </c>
      <c r="C487" s="92">
        <v>1975</v>
      </c>
      <c r="D487" s="95"/>
      <c r="E487" s="92" t="s">
        <v>94</v>
      </c>
      <c r="F487" s="95">
        <v>9</v>
      </c>
      <c r="G487" s="95">
        <v>2</v>
      </c>
      <c r="H487" s="97">
        <v>5754.1</v>
      </c>
      <c r="I487" s="97">
        <v>2912.9</v>
      </c>
      <c r="J487" s="97">
        <v>1307.89</v>
      </c>
      <c r="K487" s="211">
        <v>289</v>
      </c>
      <c r="L487" s="97">
        <f>'виды работ  (2)'!C486</f>
        <v>4873406</v>
      </c>
      <c r="M487" s="97">
        <v>0</v>
      </c>
      <c r="N487" s="97">
        <v>0</v>
      </c>
      <c r="O487" s="97">
        <v>0</v>
      </c>
      <c r="P487" s="97">
        <f t="shared" si="99"/>
        <v>4873406</v>
      </c>
      <c r="Q487" s="97">
        <f t="shared" si="100"/>
        <v>846.9449609843415</v>
      </c>
      <c r="R487" s="97">
        <v>42000</v>
      </c>
      <c r="S487" s="55" t="s">
        <v>843</v>
      </c>
      <c r="T487" s="92" t="s">
        <v>773</v>
      </c>
      <c r="X487" s="190"/>
    </row>
    <row r="488" spans="1:24" s="186" customFormat="1" ht="15">
      <c r="A488" s="96">
        <f t="shared" si="101"/>
        <v>377</v>
      </c>
      <c r="B488" s="188" t="s">
        <v>379</v>
      </c>
      <c r="C488" s="92">
        <v>1985</v>
      </c>
      <c r="D488" s="95"/>
      <c r="E488" s="92" t="s">
        <v>411</v>
      </c>
      <c r="F488" s="95">
        <v>9</v>
      </c>
      <c r="G488" s="95">
        <v>7</v>
      </c>
      <c r="H488" s="97">
        <v>16480.1</v>
      </c>
      <c r="I488" s="97">
        <v>13944.43</v>
      </c>
      <c r="J488" s="97">
        <v>11896.78</v>
      </c>
      <c r="K488" s="211">
        <v>706</v>
      </c>
      <c r="L488" s="97">
        <f>'виды работ  (2)'!C487</f>
        <v>17056921</v>
      </c>
      <c r="M488" s="97">
        <v>0</v>
      </c>
      <c r="N488" s="97">
        <v>0</v>
      </c>
      <c r="O488" s="97">
        <v>0</v>
      </c>
      <c r="P488" s="97">
        <f t="shared" si="99"/>
        <v>17056921</v>
      </c>
      <c r="Q488" s="97">
        <f t="shared" si="100"/>
        <v>1035.0010618867605</v>
      </c>
      <c r="R488" s="97">
        <v>42000</v>
      </c>
      <c r="S488" s="55" t="s">
        <v>843</v>
      </c>
      <c r="T488" s="92" t="s">
        <v>773</v>
      </c>
      <c r="X488" s="190"/>
    </row>
    <row r="489" spans="1:24" s="186" customFormat="1" ht="15">
      <c r="A489" s="96">
        <f t="shared" si="101"/>
        <v>378</v>
      </c>
      <c r="B489" s="188" t="s">
        <v>380</v>
      </c>
      <c r="C489" s="92">
        <v>1989</v>
      </c>
      <c r="D489" s="95"/>
      <c r="E489" s="92" t="s">
        <v>94</v>
      </c>
      <c r="F489" s="95">
        <v>12</v>
      </c>
      <c r="G489" s="95">
        <v>1</v>
      </c>
      <c r="H489" s="97">
        <v>7437.1</v>
      </c>
      <c r="I489" s="97">
        <v>6830</v>
      </c>
      <c r="J489" s="97">
        <v>6457.7</v>
      </c>
      <c r="K489" s="95">
        <v>328</v>
      </c>
      <c r="L489" s="97">
        <f>'виды работ  (2)'!C488</f>
        <v>5290671</v>
      </c>
      <c r="M489" s="97">
        <v>0</v>
      </c>
      <c r="N489" s="97">
        <v>0</v>
      </c>
      <c r="O489" s="97">
        <v>0</v>
      </c>
      <c r="P489" s="97">
        <f t="shared" si="99"/>
        <v>5290671</v>
      </c>
      <c r="Q489" s="97">
        <f t="shared" si="100"/>
        <v>711.3889822645923</v>
      </c>
      <c r="R489" s="97">
        <v>42000</v>
      </c>
      <c r="S489" s="55" t="s">
        <v>843</v>
      </c>
      <c r="T489" s="92" t="s">
        <v>773</v>
      </c>
      <c r="X489" s="190"/>
    </row>
    <row r="490" spans="1:24" s="186" customFormat="1" ht="15">
      <c r="A490" s="96">
        <f t="shared" si="101"/>
        <v>379</v>
      </c>
      <c r="B490" s="188" t="s">
        <v>375</v>
      </c>
      <c r="C490" s="92">
        <v>1951</v>
      </c>
      <c r="D490" s="95"/>
      <c r="E490" s="92" t="s">
        <v>465</v>
      </c>
      <c r="F490" s="95">
        <v>2</v>
      </c>
      <c r="G490" s="95">
        <v>1</v>
      </c>
      <c r="H490" s="97">
        <v>366.8</v>
      </c>
      <c r="I490" s="97">
        <v>324.65</v>
      </c>
      <c r="J490" s="97">
        <v>88.35</v>
      </c>
      <c r="K490" s="95">
        <v>27</v>
      </c>
      <c r="L490" s="97">
        <f>'виды работ  (2)'!C489</f>
        <v>1089412</v>
      </c>
      <c r="M490" s="97">
        <v>0</v>
      </c>
      <c r="N490" s="97">
        <v>0</v>
      </c>
      <c r="O490" s="97">
        <v>0</v>
      </c>
      <c r="P490" s="97">
        <f t="shared" si="99"/>
        <v>1089412</v>
      </c>
      <c r="Q490" s="97">
        <f t="shared" si="100"/>
        <v>2970.043620501636</v>
      </c>
      <c r="R490" s="97">
        <v>42000</v>
      </c>
      <c r="S490" s="55" t="s">
        <v>843</v>
      </c>
      <c r="T490" s="92" t="s">
        <v>773</v>
      </c>
      <c r="X490" s="190"/>
    </row>
    <row r="491" spans="1:24" s="186" customFormat="1" ht="15">
      <c r="A491" s="117" t="s">
        <v>597</v>
      </c>
      <c r="B491" s="117"/>
      <c r="C491" s="86" t="s">
        <v>430</v>
      </c>
      <c r="D491" s="86" t="s">
        <v>430</v>
      </c>
      <c r="E491" s="86" t="s">
        <v>430</v>
      </c>
      <c r="F491" s="86" t="s">
        <v>430</v>
      </c>
      <c r="G491" s="86" t="s">
        <v>430</v>
      </c>
      <c r="H491" s="97">
        <f aca="true" t="shared" si="102" ref="H491:P491">SUM(H469:H490)</f>
        <v>80935.21</v>
      </c>
      <c r="I491" s="97">
        <f t="shared" si="102"/>
        <v>66093.64</v>
      </c>
      <c r="J491" s="97">
        <f t="shared" si="102"/>
        <v>56458.93999999999</v>
      </c>
      <c r="K491" s="96">
        <f t="shared" si="102"/>
        <v>3222</v>
      </c>
      <c r="L491" s="97">
        <f t="shared" si="102"/>
        <v>81954847</v>
      </c>
      <c r="M491" s="97">
        <f t="shared" si="102"/>
        <v>0</v>
      </c>
      <c r="N491" s="97">
        <f t="shared" si="102"/>
        <v>0</v>
      </c>
      <c r="O491" s="97">
        <f t="shared" si="102"/>
        <v>0</v>
      </c>
      <c r="P491" s="97">
        <f t="shared" si="102"/>
        <v>81954847</v>
      </c>
      <c r="Q491" s="97">
        <f t="shared" si="100"/>
        <v>1012.5981881062642</v>
      </c>
      <c r="R491" s="56" t="s">
        <v>430</v>
      </c>
      <c r="S491" s="56" t="s">
        <v>430</v>
      </c>
      <c r="T491" s="56" t="s">
        <v>430</v>
      </c>
      <c r="U491" s="190"/>
      <c r="X491" s="190"/>
    </row>
    <row r="492" spans="1:24" s="186" customFormat="1" ht="15">
      <c r="A492" s="140" t="s">
        <v>637</v>
      </c>
      <c r="B492" s="140"/>
      <c r="C492" s="140"/>
      <c r="D492" s="81" t="s">
        <v>430</v>
      </c>
      <c r="E492" s="81" t="s">
        <v>430</v>
      </c>
      <c r="F492" s="81" t="s">
        <v>430</v>
      </c>
      <c r="G492" s="81" t="s">
        <v>430</v>
      </c>
      <c r="H492" s="97">
        <f aca="true" t="shared" si="103" ref="H492:P492">H491+H467+H459+H452+H449+H444+H427</f>
        <v>210813.78999999998</v>
      </c>
      <c r="I492" s="97">
        <f t="shared" si="103"/>
        <v>167745.77</v>
      </c>
      <c r="J492" s="97">
        <f t="shared" si="103"/>
        <v>139905.50999999998</v>
      </c>
      <c r="K492" s="96">
        <f t="shared" si="103"/>
        <v>8999</v>
      </c>
      <c r="L492" s="97">
        <f t="shared" si="103"/>
        <v>213474576</v>
      </c>
      <c r="M492" s="97">
        <f t="shared" si="103"/>
        <v>0</v>
      </c>
      <c r="N492" s="97">
        <f t="shared" si="103"/>
        <v>0</v>
      </c>
      <c r="O492" s="97">
        <f t="shared" si="103"/>
        <v>0</v>
      </c>
      <c r="P492" s="97">
        <f t="shared" si="103"/>
        <v>213474576</v>
      </c>
      <c r="Q492" s="97">
        <f t="shared" si="100"/>
        <v>1012.6214988118188</v>
      </c>
      <c r="R492" s="56" t="s">
        <v>430</v>
      </c>
      <c r="S492" s="56" t="s">
        <v>430</v>
      </c>
      <c r="T492" s="56" t="s">
        <v>430</v>
      </c>
      <c r="U492" s="190"/>
      <c r="X492" s="190"/>
    </row>
    <row r="493" spans="1:24" s="186" customFormat="1" ht="15">
      <c r="A493" s="178" t="s">
        <v>638</v>
      </c>
      <c r="B493" s="178"/>
      <c r="C493" s="178"/>
      <c r="D493" s="178"/>
      <c r="E493" s="178"/>
      <c r="F493" s="178"/>
      <c r="G493" s="178"/>
      <c r="H493" s="178"/>
      <c r="I493" s="178"/>
      <c r="J493" s="178"/>
      <c r="K493" s="178"/>
      <c r="L493" s="178"/>
      <c r="M493" s="178"/>
      <c r="N493" s="178"/>
      <c r="O493" s="178"/>
      <c r="P493" s="178"/>
      <c r="Q493" s="178"/>
      <c r="R493" s="178"/>
      <c r="S493" s="178"/>
      <c r="T493" s="178"/>
      <c r="X493" s="190"/>
    </row>
    <row r="494" spans="1:24" s="186" customFormat="1" ht="15" customHeight="1">
      <c r="A494" s="105" t="s">
        <v>639</v>
      </c>
      <c r="B494" s="110"/>
      <c r="C494" s="110"/>
      <c r="D494" s="110"/>
      <c r="E494" s="106"/>
      <c r="F494" s="178"/>
      <c r="G494" s="178"/>
      <c r="H494" s="178"/>
      <c r="I494" s="178"/>
      <c r="J494" s="178"/>
      <c r="K494" s="178"/>
      <c r="L494" s="178"/>
      <c r="M494" s="178"/>
      <c r="N494" s="178"/>
      <c r="O494" s="178"/>
      <c r="P494" s="178"/>
      <c r="Q494" s="178"/>
      <c r="R494" s="178"/>
      <c r="S494" s="178"/>
      <c r="T494" s="178"/>
      <c r="X494" s="190"/>
    </row>
    <row r="495" spans="1:24" s="186" customFormat="1" ht="15">
      <c r="A495" s="72">
        <f>A490+1</f>
        <v>380</v>
      </c>
      <c r="B495" s="59" t="s">
        <v>403</v>
      </c>
      <c r="C495" s="77">
        <v>1958</v>
      </c>
      <c r="D495" s="95"/>
      <c r="E495" s="92" t="s">
        <v>94</v>
      </c>
      <c r="F495" s="95">
        <v>3</v>
      </c>
      <c r="G495" s="95">
        <v>2</v>
      </c>
      <c r="H495" s="97">
        <v>1242.6</v>
      </c>
      <c r="I495" s="97">
        <v>958.3</v>
      </c>
      <c r="J495" s="97">
        <v>640</v>
      </c>
      <c r="K495" s="96">
        <v>38</v>
      </c>
      <c r="L495" s="97">
        <f>'виды работ  (2)'!C494</f>
        <v>283844</v>
      </c>
      <c r="M495" s="97">
        <v>0</v>
      </c>
      <c r="N495" s="97">
        <v>0</v>
      </c>
      <c r="O495" s="97">
        <v>0</v>
      </c>
      <c r="P495" s="97">
        <f aca="true" t="shared" si="104" ref="P495:P525">L495</f>
        <v>283844</v>
      </c>
      <c r="Q495" s="97">
        <f aca="true" t="shared" si="105" ref="Q495:Q525">L495/H495</f>
        <v>228.42749074521166</v>
      </c>
      <c r="R495" s="97">
        <v>42000</v>
      </c>
      <c r="S495" s="55" t="s">
        <v>843</v>
      </c>
      <c r="T495" s="92" t="s">
        <v>773</v>
      </c>
      <c r="X495" s="190"/>
    </row>
    <row r="496" spans="1:24" s="186" customFormat="1" ht="15">
      <c r="A496" s="72">
        <f>A495+1</f>
        <v>381</v>
      </c>
      <c r="B496" s="59" t="s">
        <v>402</v>
      </c>
      <c r="C496" s="77">
        <v>1987</v>
      </c>
      <c r="D496" s="95"/>
      <c r="E496" s="92" t="s">
        <v>411</v>
      </c>
      <c r="F496" s="95">
        <v>5</v>
      </c>
      <c r="G496" s="95">
        <v>6</v>
      </c>
      <c r="H496" s="97">
        <v>7380.3</v>
      </c>
      <c r="I496" s="97">
        <v>4557</v>
      </c>
      <c r="J496" s="97">
        <v>3855.7</v>
      </c>
      <c r="K496" s="96">
        <v>220</v>
      </c>
      <c r="L496" s="97">
        <f>'виды работ  (2)'!C495</f>
        <v>273330</v>
      </c>
      <c r="M496" s="97">
        <v>0</v>
      </c>
      <c r="N496" s="97">
        <v>0</v>
      </c>
      <c r="O496" s="97">
        <v>0</v>
      </c>
      <c r="P496" s="97">
        <f t="shared" si="104"/>
        <v>273330</v>
      </c>
      <c r="Q496" s="97">
        <f t="shared" si="105"/>
        <v>37.03507987480184</v>
      </c>
      <c r="R496" s="97">
        <v>42000</v>
      </c>
      <c r="S496" s="55" t="s">
        <v>843</v>
      </c>
      <c r="T496" s="92" t="s">
        <v>773</v>
      </c>
      <c r="X496" s="190"/>
    </row>
    <row r="497" spans="1:24" s="186" customFormat="1" ht="15">
      <c r="A497" s="72">
        <f>A496+1</f>
        <v>382</v>
      </c>
      <c r="B497" s="88" t="s">
        <v>404</v>
      </c>
      <c r="C497" s="77">
        <v>1971</v>
      </c>
      <c r="D497" s="95"/>
      <c r="E497" s="92" t="s">
        <v>411</v>
      </c>
      <c r="F497" s="95">
        <v>5</v>
      </c>
      <c r="G497" s="95">
        <v>8</v>
      </c>
      <c r="H497" s="97">
        <v>7435.7</v>
      </c>
      <c r="I497" s="97">
        <v>5679.7</v>
      </c>
      <c r="J497" s="97">
        <v>5487.7</v>
      </c>
      <c r="K497" s="96">
        <v>102</v>
      </c>
      <c r="L497" s="97">
        <f>'виды работ  (2)'!C496</f>
        <v>5187002</v>
      </c>
      <c r="M497" s="97">
        <v>0</v>
      </c>
      <c r="N497" s="97">
        <v>0</v>
      </c>
      <c r="O497" s="97">
        <v>0</v>
      </c>
      <c r="P497" s="97">
        <f t="shared" si="104"/>
        <v>5187002</v>
      </c>
      <c r="Q497" s="97">
        <f t="shared" si="105"/>
        <v>697.5808599055906</v>
      </c>
      <c r="R497" s="97">
        <v>42000</v>
      </c>
      <c r="S497" s="55" t="s">
        <v>843</v>
      </c>
      <c r="T497" s="92" t="s">
        <v>773</v>
      </c>
      <c r="X497" s="190"/>
    </row>
    <row r="498" spans="1:24" s="186" customFormat="1" ht="15">
      <c r="A498" s="72">
        <f aca="true" t="shared" si="106" ref="A498:A525">A497+1</f>
        <v>383</v>
      </c>
      <c r="B498" s="82" t="s">
        <v>409</v>
      </c>
      <c r="C498" s="77">
        <v>1956</v>
      </c>
      <c r="D498" s="95"/>
      <c r="E498" s="92" t="s">
        <v>700</v>
      </c>
      <c r="F498" s="95">
        <v>2</v>
      </c>
      <c r="G498" s="95">
        <v>1</v>
      </c>
      <c r="H498" s="97">
        <v>674.7</v>
      </c>
      <c r="I498" s="97">
        <v>380.1</v>
      </c>
      <c r="J498" s="97">
        <v>340.6</v>
      </c>
      <c r="K498" s="96">
        <v>15</v>
      </c>
      <c r="L498" s="97">
        <f>'виды работ  (2)'!C497</f>
        <v>528916</v>
      </c>
      <c r="M498" s="97">
        <v>0</v>
      </c>
      <c r="N498" s="97">
        <v>0</v>
      </c>
      <c r="O498" s="97">
        <v>0</v>
      </c>
      <c r="P498" s="97">
        <f t="shared" si="104"/>
        <v>528916</v>
      </c>
      <c r="Q498" s="97">
        <f t="shared" si="105"/>
        <v>783.9276715577294</v>
      </c>
      <c r="R498" s="97">
        <v>42000</v>
      </c>
      <c r="S498" s="55" t="s">
        <v>843</v>
      </c>
      <c r="T498" s="92" t="s">
        <v>773</v>
      </c>
      <c r="X498" s="190"/>
    </row>
    <row r="499" spans="1:24" s="186" customFormat="1" ht="15">
      <c r="A499" s="72">
        <f t="shared" si="106"/>
        <v>384</v>
      </c>
      <c r="B499" s="59" t="s">
        <v>391</v>
      </c>
      <c r="C499" s="77">
        <v>1981</v>
      </c>
      <c r="D499" s="95"/>
      <c r="E499" s="92" t="s">
        <v>411</v>
      </c>
      <c r="F499" s="95">
        <v>5</v>
      </c>
      <c r="G499" s="95">
        <v>6</v>
      </c>
      <c r="H499" s="97">
        <v>7102.5</v>
      </c>
      <c r="I499" s="97">
        <v>4588.4</v>
      </c>
      <c r="J499" s="97">
        <v>3981</v>
      </c>
      <c r="K499" s="96">
        <v>222</v>
      </c>
      <c r="L499" s="97">
        <f>'виды работ  (2)'!C498</f>
        <v>27631227</v>
      </c>
      <c r="M499" s="97">
        <v>0</v>
      </c>
      <c r="N499" s="97">
        <v>0</v>
      </c>
      <c r="O499" s="97">
        <v>0</v>
      </c>
      <c r="P499" s="97">
        <f t="shared" si="104"/>
        <v>27631227</v>
      </c>
      <c r="Q499" s="97">
        <f t="shared" si="105"/>
        <v>3890.3522703273497</v>
      </c>
      <c r="R499" s="97">
        <v>42000</v>
      </c>
      <c r="S499" s="55" t="s">
        <v>843</v>
      </c>
      <c r="T499" s="92" t="s">
        <v>773</v>
      </c>
      <c r="X499" s="190"/>
    </row>
    <row r="500" spans="1:24" s="186" customFormat="1" ht="15">
      <c r="A500" s="72">
        <f t="shared" si="106"/>
        <v>385</v>
      </c>
      <c r="B500" s="59" t="s">
        <v>392</v>
      </c>
      <c r="C500" s="77">
        <v>1960</v>
      </c>
      <c r="D500" s="95"/>
      <c r="E500" s="92" t="s">
        <v>411</v>
      </c>
      <c r="F500" s="95">
        <v>4</v>
      </c>
      <c r="G500" s="95">
        <v>3</v>
      </c>
      <c r="H500" s="97">
        <v>3253.9</v>
      </c>
      <c r="I500" s="97">
        <v>2095.8</v>
      </c>
      <c r="J500" s="97">
        <v>1595.6</v>
      </c>
      <c r="K500" s="96">
        <v>73</v>
      </c>
      <c r="L500" s="97">
        <f>'виды работ  (2)'!C499</f>
        <v>4582029</v>
      </c>
      <c r="M500" s="97">
        <v>0</v>
      </c>
      <c r="N500" s="97">
        <v>0</v>
      </c>
      <c r="O500" s="97">
        <v>0</v>
      </c>
      <c r="P500" s="97">
        <f t="shared" si="104"/>
        <v>4582029</v>
      </c>
      <c r="Q500" s="97">
        <f t="shared" si="105"/>
        <v>1408.1652785887704</v>
      </c>
      <c r="R500" s="97">
        <v>42000</v>
      </c>
      <c r="S500" s="55" t="s">
        <v>843</v>
      </c>
      <c r="T500" s="92" t="s">
        <v>773</v>
      </c>
      <c r="X500" s="190"/>
    </row>
    <row r="501" spans="1:24" s="186" customFormat="1" ht="15">
      <c r="A501" s="72">
        <f t="shared" si="106"/>
        <v>386</v>
      </c>
      <c r="B501" s="59" t="s">
        <v>407</v>
      </c>
      <c r="C501" s="77">
        <v>1981</v>
      </c>
      <c r="D501" s="95"/>
      <c r="E501" s="92" t="s">
        <v>94</v>
      </c>
      <c r="F501" s="95">
        <v>2</v>
      </c>
      <c r="G501" s="95">
        <v>1</v>
      </c>
      <c r="H501" s="97">
        <v>872.6</v>
      </c>
      <c r="I501" s="97">
        <v>367.6</v>
      </c>
      <c r="J501" s="97">
        <v>168</v>
      </c>
      <c r="K501" s="96">
        <v>24</v>
      </c>
      <c r="L501" s="97">
        <f>'виды работ  (2)'!C500</f>
        <v>2151898</v>
      </c>
      <c r="M501" s="97">
        <v>0</v>
      </c>
      <c r="N501" s="97">
        <v>0</v>
      </c>
      <c r="O501" s="97">
        <v>0</v>
      </c>
      <c r="P501" s="97">
        <f t="shared" si="104"/>
        <v>2151898</v>
      </c>
      <c r="Q501" s="97">
        <f t="shared" si="105"/>
        <v>2466.076094430438</v>
      </c>
      <c r="R501" s="97">
        <v>42000</v>
      </c>
      <c r="S501" s="55" t="s">
        <v>843</v>
      </c>
      <c r="T501" s="92" t="s">
        <v>773</v>
      </c>
      <c r="X501" s="190"/>
    </row>
    <row r="502" spans="1:24" s="186" customFormat="1" ht="15">
      <c r="A502" s="72">
        <f t="shared" si="106"/>
        <v>387</v>
      </c>
      <c r="B502" s="59" t="s">
        <v>397</v>
      </c>
      <c r="C502" s="77">
        <v>1969</v>
      </c>
      <c r="D502" s="95"/>
      <c r="E502" s="92" t="s">
        <v>94</v>
      </c>
      <c r="F502" s="95">
        <v>5</v>
      </c>
      <c r="G502" s="95">
        <v>3</v>
      </c>
      <c r="H502" s="97">
        <v>3659.6</v>
      </c>
      <c r="I502" s="97">
        <v>2007.1</v>
      </c>
      <c r="J502" s="97">
        <v>1822</v>
      </c>
      <c r="K502" s="96">
        <v>76</v>
      </c>
      <c r="L502" s="97">
        <f>'виды работ  (2)'!C501</f>
        <v>2323178</v>
      </c>
      <c r="M502" s="97">
        <v>0</v>
      </c>
      <c r="N502" s="97">
        <v>0</v>
      </c>
      <c r="O502" s="97">
        <v>0</v>
      </c>
      <c r="P502" s="97">
        <f t="shared" si="104"/>
        <v>2323178</v>
      </c>
      <c r="Q502" s="97">
        <f t="shared" si="105"/>
        <v>634.8174663897694</v>
      </c>
      <c r="R502" s="97">
        <v>42000</v>
      </c>
      <c r="S502" s="55" t="s">
        <v>843</v>
      </c>
      <c r="T502" s="92" t="s">
        <v>773</v>
      </c>
      <c r="X502" s="190"/>
    </row>
    <row r="503" spans="1:24" s="186" customFormat="1" ht="15">
      <c r="A503" s="72">
        <f t="shared" si="106"/>
        <v>388</v>
      </c>
      <c r="B503" s="59" t="s">
        <v>398</v>
      </c>
      <c r="C503" s="77">
        <v>1969</v>
      </c>
      <c r="D503" s="95"/>
      <c r="E503" s="92" t="s">
        <v>94</v>
      </c>
      <c r="F503" s="95">
        <v>5</v>
      </c>
      <c r="G503" s="95">
        <v>4</v>
      </c>
      <c r="H503" s="97">
        <v>4666.8</v>
      </c>
      <c r="I503" s="97">
        <v>3363.3</v>
      </c>
      <c r="J503" s="97">
        <v>3014.5</v>
      </c>
      <c r="K503" s="96">
        <v>151</v>
      </c>
      <c r="L503" s="97">
        <f>'виды работ  (2)'!C502</f>
        <v>1574268</v>
      </c>
      <c r="M503" s="97">
        <v>0</v>
      </c>
      <c r="N503" s="97">
        <v>0</v>
      </c>
      <c r="O503" s="97">
        <v>0</v>
      </c>
      <c r="P503" s="97">
        <f t="shared" si="104"/>
        <v>1574268</v>
      </c>
      <c r="Q503" s="97">
        <f t="shared" si="105"/>
        <v>337.33350475700695</v>
      </c>
      <c r="R503" s="97">
        <v>42000</v>
      </c>
      <c r="S503" s="55" t="s">
        <v>843</v>
      </c>
      <c r="T503" s="92" t="s">
        <v>773</v>
      </c>
      <c r="X503" s="190"/>
    </row>
    <row r="504" spans="1:24" s="186" customFormat="1" ht="15">
      <c r="A504" s="72">
        <f t="shared" si="106"/>
        <v>389</v>
      </c>
      <c r="B504" s="59" t="s">
        <v>399</v>
      </c>
      <c r="C504" s="77">
        <v>1970</v>
      </c>
      <c r="D504" s="95"/>
      <c r="E504" s="92" t="s">
        <v>94</v>
      </c>
      <c r="F504" s="95">
        <v>5</v>
      </c>
      <c r="G504" s="95">
        <v>3</v>
      </c>
      <c r="H504" s="97">
        <v>3614.1</v>
      </c>
      <c r="I504" s="97">
        <v>1968.5</v>
      </c>
      <c r="J504" s="97">
        <v>1760.4</v>
      </c>
      <c r="K504" s="96">
        <v>93</v>
      </c>
      <c r="L504" s="97">
        <f>'виды работ  (2)'!C503</f>
        <v>2911765</v>
      </c>
      <c r="M504" s="97">
        <v>0</v>
      </c>
      <c r="N504" s="97">
        <v>0</v>
      </c>
      <c r="O504" s="97">
        <v>0</v>
      </c>
      <c r="P504" s="97">
        <f t="shared" si="104"/>
        <v>2911765</v>
      </c>
      <c r="Q504" s="97">
        <f t="shared" si="105"/>
        <v>805.6680778063695</v>
      </c>
      <c r="R504" s="97">
        <v>42000</v>
      </c>
      <c r="S504" s="55" t="s">
        <v>843</v>
      </c>
      <c r="T504" s="92" t="s">
        <v>773</v>
      </c>
      <c r="X504" s="190"/>
    </row>
    <row r="505" spans="1:24" s="186" customFormat="1" ht="15">
      <c r="A505" s="72">
        <f t="shared" si="106"/>
        <v>390</v>
      </c>
      <c r="B505" s="88" t="s">
        <v>387</v>
      </c>
      <c r="C505" s="77">
        <v>1964</v>
      </c>
      <c r="D505" s="95"/>
      <c r="E505" s="92" t="s">
        <v>94</v>
      </c>
      <c r="F505" s="95">
        <v>5</v>
      </c>
      <c r="G505" s="95">
        <v>2</v>
      </c>
      <c r="H505" s="97">
        <v>2032.3</v>
      </c>
      <c r="I505" s="97">
        <v>1583.5</v>
      </c>
      <c r="J505" s="97">
        <v>1261.1</v>
      </c>
      <c r="K505" s="96">
        <v>68</v>
      </c>
      <c r="L505" s="97">
        <f>'виды работ  (2)'!C504</f>
        <v>394372</v>
      </c>
      <c r="M505" s="97">
        <v>0</v>
      </c>
      <c r="N505" s="97">
        <v>0</v>
      </c>
      <c r="O505" s="97">
        <v>0</v>
      </c>
      <c r="P505" s="97">
        <f t="shared" si="104"/>
        <v>394372</v>
      </c>
      <c r="Q505" s="97">
        <f t="shared" si="105"/>
        <v>194.05205924322198</v>
      </c>
      <c r="R505" s="97">
        <v>42000</v>
      </c>
      <c r="S505" s="55" t="s">
        <v>843</v>
      </c>
      <c r="T505" s="92" t="s">
        <v>773</v>
      </c>
      <c r="X505" s="190"/>
    </row>
    <row r="506" spans="1:24" s="186" customFormat="1" ht="15">
      <c r="A506" s="72">
        <f t="shared" si="106"/>
        <v>391</v>
      </c>
      <c r="B506" s="88" t="s">
        <v>388</v>
      </c>
      <c r="C506" s="77">
        <v>1964</v>
      </c>
      <c r="D506" s="95"/>
      <c r="E506" s="92" t="s">
        <v>94</v>
      </c>
      <c r="F506" s="95">
        <v>5</v>
      </c>
      <c r="G506" s="95">
        <v>4</v>
      </c>
      <c r="H506" s="97">
        <v>4381.2</v>
      </c>
      <c r="I506" s="97">
        <v>3721.7</v>
      </c>
      <c r="J506" s="97">
        <v>2453.8</v>
      </c>
      <c r="K506" s="96">
        <v>93</v>
      </c>
      <c r="L506" s="97">
        <f>'виды работ  (2)'!C505</f>
        <v>434703</v>
      </c>
      <c r="M506" s="97">
        <v>0</v>
      </c>
      <c r="N506" s="97">
        <v>0</v>
      </c>
      <c r="O506" s="97">
        <v>0</v>
      </c>
      <c r="P506" s="97">
        <f t="shared" si="104"/>
        <v>434703</v>
      </c>
      <c r="Q506" s="97">
        <f t="shared" si="105"/>
        <v>99.22007669131744</v>
      </c>
      <c r="R506" s="97">
        <v>42000</v>
      </c>
      <c r="S506" s="55" t="s">
        <v>843</v>
      </c>
      <c r="T506" s="92" t="s">
        <v>773</v>
      </c>
      <c r="X506" s="190"/>
    </row>
    <row r="507" spans="1:24" s="186" customFormat="1" ht="15">
      <c r="A507" s="72">
        <f t="shared" si="106"/>
        <v>392</v>
      </c>
      <c r="B507" s="59" t="s">
        <v>401</v>
      </c>
      <c r="C507" s="77">
        <v>1965</v>
      </c>
      <c r="D507" s="95"/>
      <c r="E507" s="92" t="s">
        <v>94</v>
      </c>
      <c r="F507" s="95">
        <v>5</v>
      </c>
      <c r="G507" s="95">
        <v>2</v>
      </c>
      <c r="H507" s="97">
        <v>2026.1</v>
      </c>
      <c r="I507" s="97">
        <v>1473</v>
      </c>
      <c r="J507" s="97">
        <v>1276.2</v>
      </c>
      <c r="K507" s="96">
        <v>60</v>
      </c>
      <c r="L507" s="97">
        <f>'виды работ  (2)'!C506</f>
        <v>1541519</v>
      </c>
      <c r="M507" s="97">
        <v>0</v>
      </c>
      <c r="N507" s="97">
        <v>0</v>
      </c>
      <c r="O507" s="97">
        <v>0</v>
      </c>
      <c r="P507" s="97">
        <f t="shared" si="104"/>
        <v>1541519</v>
      </c>
      <c r="Q507" s="97">
        <f t="shared" si="105"/>
        <v>760.8306598884557</v>
      </c>
      <c r="R507" s="97">
        <v>42000</v>
      </c>
      <c r="S507" s="55" t="s">
        <v>843</v>
      </c>
      <c r="T507" s="92" t="s">
        <v>773</v>
      </c>
      <c r="X507" s="190"/>
    </row>
    <row r="508" spans="1:24" s="186" customFormat="1" ht="15">
      <c r="A508" s="72">
        <f t="shared" si="106"/>
        <v>393</v>
      </c>
      <c r="B508" s="59" t="s">
        <v>400</v>
      </c>
      <c r="C508" s="77">
        <v>1973</v>
      </c>
      <c r="D508" s="95"/>
      <c r="E508" s="92" t="s">
        <v>94</v>
      </c>
      <c r="F508" s="95">
        <v>5</v>
      </c>
      <c r="G508" s="95">
        <v>4</v>
      </c>
      <c r="H508" s="97">
        <v>4493.3</v>
      </c>
      <c r="I508" s="97">
        <v>3248.6</v>
      </c>
      <c r="J508" s="97">
        <v>2743.1</v>
      </c>
      <c r="K508" s="96">
        <v>132</v>
      </c>
      <c r="L508" s="97">
        <f>'виды работ  (2)'!C507</f>
        <v>3793564</v>
      </c>
      <c r="M508" s="97">
        <v>0</v>
      </c>
      <c r="N508" s="97">
        <v>0</v>
      </c>
      <c r="O508" s="97">
        <v>0</v>
      </c>
      <c r="P508" s="97">
        <f t="shared" si="104"/>
        <v>3793564</v>
      </c>
      <c r="Q508" s="97">
        <f t="shared" si="105"/>
        <v>844.2712483030289</v>
      </c>
      <c r="R508" s="97">
        <v>42000</v>
      </c>
      <c r="S508" s="55" t="s">
        <v>843</v>
      </c>
      <c r="T508" s="92" t="s">
        <v>773</v>
      </c>
      <c r="X508" s="190"/>
    </row>
    <row r="509" spans="1:24" s="43" customFormat="1" ht="15">
      <c r="A509" s="72">
        <f t="shared" si="106"/>
        <v>394</v>
      </c>
      <c r="B509" s="88" t="s">
        <v>758</v>
      </c>
      <c r="C509" s="39">
        <v>1991</v>
      </c>
      <c r="D509" s="57"/>
      <c r="E509" s="92" t="s">
        <v>411</v>
      </c>
      <c r="F509" s="72">
        <v>5</v>
      </c>
      <c r="G509" s="72">
        <v>4</v>
      </c>
      <c r="H509" s="62">
        <v>6840.2</v>
      </c>
      <c r="I509" s="97">
        <v>4360.4</v>
      </c>
      <c r="J509" s="97">
        <v>4048.2</v>
      </c>
      <c r="K509" s="96">
        <v>157</v>
      </c>
      <c r="L509" s="97">
        <f>'виды работ  (2)'!C508</f>
        <v>4529692</v>
      </c>
      <c r="M509" s="86">
        <v>0</v>
      </c>
      <c r="N509" s="86">
        <v>0</v>
      </c>
      <c r="O509" s="86">
        <v>0</v>
      </c>
      <c r="P509" s="86">
        <f t="shared" si="104"/>
        <v>4529692</v>
      </c>
      <c r="Q509" s="86">
        <f t="shared" si="105"/>
        <v>662.2163094646355</v>
      </c>
      <c r="R509" s="97">
        <v>42000</v>
      </c>
      <c r="S509" s="55" t="s">
        <v>843</v>
      </c>
      <c r="T509" s="92" t="s">
        <v>773</v>
      </c>
      <c r="X509" s="190"/>
    </row>
    <row r="510" spans="1:24" s="43" customFormat="1" ht="15">
      <c r="A510" s="72">
        <f t="shared" si="106"/>
        <v>395</v>
      </c>
      <c r="B510" s="59" t="s">
        <v>759</v>
      </c>
      <c r="C510" s="39">
        <v>1956</v>
      </c>
      <c r="D510" s="57"/>
      <c r="E510" s="92" t="s">
        <v>94</v>
      </c>
      <c r="F510" s="72">
        <v>3</v>
      </c>
      <c r="G510" s="72">
        <v>3</v>
      </c>
      <c r="H510" s="97">
        <v>3524.7</v>
      </c>
      <c r="I510" s="97">
        <v>1864.8</v>
      </c>
      <c r="J510" s="97">
        <v>366.9</v>
      </c>
      <c r="K510" s="10">
        <v>73</v>
      </c>
      <c r="L510" s="97">
        <f>'виды работ  (2)'!C509</f>
        <v>818846</v>
      </c>
      <c r="M510" s="86">
        <v>0</v>
      </c>
      <c r="N510" s="86">
        <v>0</v>
      </c>
      <c r="O510" s="86">
        <v>0</v>
      </c>
      <c r="P510" s="86">
        <f>L510</f>
        <v>818846</v>
      </c>
      <c r="Q510" s="86">
        <f>L510/H510</f>
        <v>232.3165092064573</v>
      </c>
      <c r="R510" s="97">
        <v>42000</v>
      </c>
      <c r="S510" s="55" t="s">
        <v>843</v>
      </c>
      <c r="T510" s="92" t="s">
        <v>773</v>
      </c>
      <c r="X510" s="190"/>
    </row>
    <row r="511" spans="1:24" s="186" customFormat="1" ht="15">
      <c r="A511" s="72">
        <f t="shared" si="106"/>
        <v>396</v>
      </c>
      <c r="B511" s="82" t="s">
        <v>385</v>
      </c>
      <c r="C511" s="77">
        <v>1983</v>
      </c>
      <c r="D511" s="95"/>
      <c r="E511" s="92" t="s">
        <v>411</v>
      </c>
      <c r="F511" s="95">
        <v>5</v>
      </c>
      <c r="G511" s="95">
        <v>5</v>
      </c>
      <c r="H511" s="97">
        <v>5790.7</v>
      </c>
      <c r="I511" s="97">
        <v>3484.7</v>
      </c>
      <c r="J511" s="97">
        <v>1311.7</v>
      </c>
      <c r="K511" s="96">
        <v>135</v>
      </c>
      <c r="L511" s="97">
        <f>'виды работ  (2)'!C510</f>
        <v>2182745</v>
      </c>
      <c r="M511" s="97">
        <v>0</v>
      </c>
      <c r="N511" s="97">
        <v>0</v>
      </c>
      <c r="O511" s="97">
        <v>0</v>
      </c>
      <c r="P511" s="97">
        <f t="shared" si="104"/>
        <v>2182745</v>
      </c>
      <c r="Q511" s="97">
        <f t="shared" si="105"/>
        <v>376.9397482169686</v>
      </c>
      <c r="R511" s="97">
        <v>42000</v>
      </c>
      <c r="S511" s="55" t="s">
        <v>843</v>
      </c>
      <c r="T511" s="92" t="s">
        <v>773</v>
      </c>
      <c r="X511" s="190"/>
    </row>
    <row r="512" spans="1:24" s="186" customFormat="1" ht="15">
      <c r="A512" s="72">
        <f t="shared" si="106"/>
        <v>397</v>
      </c>
      <c r="B512" s="82" t="s">
        <v>386</v>
      </c>
      <c r="C512" s="77">
        <v>1986</v>
      </c>
      <c r="D512" s="95"/>
      <c r="E512" s="92" t="s">
        <v>411</v>
      </c>
      <c r="F512" s="95">
        <v>5</v>
      </c>
      <c r="G512" s="95">
        <v>5</v>
      </c>
      <c r="H512" s="97">
        <v>4748.9</v>
      </c>
      <c r="I512" s="97">
        <v>3435.4</v>
      </c>
      <c r="J512" s="97">
        <v>996.7</v>
      </c>
      <c r="K512" s="96">
        <v>126</v>
      </c>
      <c r="L512" s="97">
        <f>'виды работ  (2)'!C511</f>
        <v>2491171</v>
      </c>
      <c r="M512" s="97">
        <v>0</v>
      </c>
      <c r="N512" s="97">
        <v>0</v>
      </c>
      <c r="O512" s="97">
        <v>0</v>
      </c>
      <c r="P512" s="97">
        <f t="shared" si="104"/>
        <v>2491171</v>
      </c>
      <c r="Q512" s="97">
        <f t="shared" si="105"/>
        <v>524.5785339762892</v>
      </c>
      <c r="R512" s="97">
        <v>42000</v>
      </c>
      <c r="S512" s="55" t="s">
        <v>843</v>
      </c>
      <c r="T512" s="92" t="s">
        <v>773</v>
      </c>
      <c r="X512" s="190"/>
    </row>
    <row r="513" spans="1:24" s="43" customFormat="1" ht="15">
      <c r="A513" s="72">
        <f t="shared" si="106"/>
        <v>398</v>
      </c>
      <c r="B513" s="59" t="s">
        <v>760</v>
      </c>
      <c r="C513" s="39">
        <v>1956</v>
      </c>
      <c r="D513" s="57"/>
      <c r="E513" s="92" t="s">
        <v>94</v>
      </c>
      <c r="F513" s="72">
        <v>3</v>
      </c>
      <c r="G513" s="72">
        <v>3</v>
      </c>
      <c r="H513" s="97">
        <v>3455.9</v>
      </c>
      <c r="I513" s="97">
        <v>1827.5</v>
      </c>
      <c r="J513" s="97">
        <v>503.5</v>
      </c>
      <c r="K513" s="10">
        <v>52</v>
      </c>
      <c r="L513" s="97">
        <f>'виды работ  (2)'!C512</f>
        <v>852112</v>
      </c>
      <c r="M513" s="86">
        <v>0</v>
      </c>
      <c r="N513" s="86">
        <v>0</v>
      </c>
      <c r="O513" s="86">
        <v>0</v>
      </c>
      <c r="P513" s="86">
        <f t="shared" si="104"/>
        <v>852112</v>
      </c>
      <c r="Q513" s="86">
        <f t="shared" si="105"/>
        <v>246.56731965624004</v>
      </c>
      <c r="R513" s="97">
        <v>42000</v>
      </c>
      <c r="S513" s="55" t="s">
        <v>843</v>
      </c>
      <c r="T513" s="92" t="s">
        <v>773</v>
      </c>
      <c r="X513" s="190"/>
    </row>
    <row r="514" spans="1:24" s="186" customFormat="1" ht="15">
      <c r="A514" s="72">
        <f t="shared" si="106"/>
        <v>399</v>
      </c>
      <c r="B514" s="82" t="s">
        <v>383</v>
      </c>
      <c r="C514" s="77">
        <v>1955</v>
      </c>
      <c r="D514" s="95"/>
      <c r="E514" s="92" t="s">
        <v>94</v>
      </c>
      <c r="F514" s="95">
        <v>3</v>
      </c>
      <c r="G514" s="95">
        <v>4</v>
      </c>
      <c r="H514" s="97">
        <v>3084.5</v>
      </c>
      <c r="I514" s="97">
        <v>1550.2</v>
      </c>
      <c r="J514" s="97">
        <v>586.1</v>
      </c>
      <c r="K514" s="96">
        <v>52</v>
      </c>
      <c r="L514" s="97">
        <f>'виды работ  (2)'!C513</f>
        <v>4021599</v>
      </c>
      <c r="M514" s="97">
        <v>0</v>
      </c>
      <c r="N514" s="97">
        <v>0</v>
      </c>
      <c r="O514" s="97">
        <v>0</v>
      </c>
      <c r="P514" s="97">
        <f t="shared" si="104"/>
        <v>4021599</v>
      </c>
      <c r="Q514" s="97">
        <f t="shared" si="105"/>
        <v>1303.8090452261306</v>
      </c>
      <c r="R514" s="97">
        <v>42000</v>
      </c>
      <c r="S514" s="55" t="s">
        <v>843</v>
      </c>
      <c r="T514" s="92" t="s">
        <v>773</v>
      </c>
      <c r="X514" s="190"/>
    </row>
    <row r="515" spans="1:24" s="186" customFormat="1" ht="15">
      <c r="A515" s="72">
        <f t="shared" si="106"/>
        <v>400</v>
      </c>
      <c r="B515" s="82" t="s">
        <v>410</v>
      </c>
      <c r="C515" s="77">
        <v>1963</v>
      </c>
      <c r="D515" s="95"/>
      <c r="E515" s="92" t="s">
        <v>94</v>
      </c>
      <c r="F515" s="95">
        <v>3</v>
      </c>
      <c r="G515" s="95">
        <v>3</v>
      </c>
      <c r="H515" s="97">
        <v>2941.64</v>
      </c>
      <c r="I515" s="97">
        <v>1512.9</v>
      </c>
      <c r="J515" s="97">
        <v>706.9</v>
      </c>
      <c r="K515" s="96">
        <v>74</v>
      </c>
      <c r="L515" s="97">
        <f>'виды работ  (2)'!C514</f>
        <v>227428</v>
      </c>
      <c r="M515" s="97">
        <v>0</v>
      </c>
      <c r="N515" s="97">
        <v>0</v>
      </c>
      <c r="O515" s="97">
        <v>0</v>
      </c>
      <c r="P515" s="97">
        <f t="shared" si="104"/>
        <v>227428</v>
      </c>
      <c r="Q515" s="97">
        <f t="shared" si="105"/>
        <v>77.31333541833807</v>
      </c>
      <c r="R515" s="97">
        <v>42000</v>
      </c>
      <c r="S515" s="55" t="s">
        <v>843</v>
      </c>
      <c r="T515" s="92" t="s">
        <v>773</v>
      </c>
      <c r="X515" s="190"/>
    </row>
    <row r="516" spans="1:24" s="186" customFormat="1" ht="15">
      <c r="A516" s="72">
        <f t="shared" si="106"/>
        <v>401</v>
      </c>
      <c r="B516" s="82" t="s">
        <v>405</v>
      </c>
      <c r="C516" s="77">
        <v>1973</v>
      </c>
      <c r="D516" s="95"/>
      <c r="E516" s="92" t="s">
        <v>94</v>
      </c>
      <c r="F516" s="95">
        <v>3</v>
      </c>
      <c r="G516" s="95">
        <v>3</v>
      </c>
      <c r="H516" s="97">
        <v>3134.6</v>
      </c>
      <c r="I516" s="97">
        <v>1623.9</v>
      </c>
      <c r="J516" s="97">
        <v>898.2</v>
      </c>
      <c r="K516" s="96">
        <v>72</v>
      </c>
      <c r="L516" s="97">
        <f>'виды работ  (2)'!C515</f>
        <v>316827</v>
      </c>
      <c r="M516" s="97">
        <v>0</v>
      </c>
      <c r="N516" s="97">
        <v>0</v>
      </c>
      <c r="O516" s="97">
        <v>0</v>
      </c>
      <c r="P516" s="97">
        <f t="shared" si="104"/>
        <v>316827</v>
      </c>
      <c r="Q516" s="97">
        <f t="shared" si="105"/>
        <v>101.0741402411791</v>
      </c>
      <c r="R516" s="97">
        <v>42000</v>
      </c>
      <c r="S516" s="55" t="s">
        <v>843</v>
      </c>
      <c r="T516" s="92" t="s">
        <v>773</v>
      </c>
      <c r="X516" s="190"/>
    </row>
    <row r="517" spans="1:24" s="186" customFormat="1" ht="15">
      <c r="A517" s="72">
        <f t="shared" si="106"/>
        <v>402</v>
      </c>
      <c r="B517" s="82" t="s">
        <v>384</v>
      </c>
      <c r="C517" s="77">
        <v>1979</v>
      </c>
      <c r="D517" s="95"/>
      <c r="E517" s="92" t="s">
        <v>411</v>
      </c>
      <c r="F517" s="95">
        <v>5</v>
      </c>
      <c r="G517" s="95">
        <v>5</v>
      </c>
      <c r="H517" s="97">
        <v>4771.6</v>
      </c>
      <c r="I517" s="97">
        <v>3472.9</v>
      </c>
      <c r="J517" s="97">
        <v>1256.2</v>
      </c>
      <c r="K517" s="96">
        <v>127</v>
      </c>
      <c r="L517" s="97">
        <f>'виды работ  (2)'!C516</f>
        <v>2037983</v>
      </c>
      <c r="M517" s="97">
        <v>0</v>
      </c>
      <c r="N517" s="97">
        <v>0</v>
      </c>
      <c r="O517" s="97">
        <v>0</v>
      </c>
      <c r="P517" s="97">
        <f t="shared" si="104"/>
        <v>2037983</v>
      </c>
      <c r="Q517" s="97">
        <f t="shared" si="105"/>
        <v>427.10684047279733</v>
      </c>
      <c r="R517" s="97">
        <v>42000</v>
      </c>
      <c r="S517" s="55" t="s">
        <v>843</v>
      </c>
      <c r="T517" s="92" t="s">
        <v>773</v>
      </c>
      <c r="X517" s="190"/>
    </row>
    <row r="518" spans="1:24" s="186" customFormat="1" ht="15">
      <c r="A518" s="72">
        <f t="shared" si="106"/>
        <v>403</v>
      </c>
      <c r="B518" s="88" t="s">
        <v>393</v>
      </c>
      <c r="C518" s="77">
        <v>1967</v>
      </c>
      <c r="D518" s="95"/>
      <c r="E518" s="92" t="s">
        <v>411</v>
      </c>
      <c r="F518" s="95">
        <v>5</v>
      </c>
      <c r="G518" s="95">
        <v>4</v>
      </c>
      <c r="H518" s="97">
        <v>4670</v>
      </c>
      <c r="I518" s="97">
        <v>3541.1</v>
      </c>
      <c r="J518" s="97">
        <v>3063.9</v>
      </c>
      <c r="K518" s="96">
        <v>161</v>
      </c>
      <c r="L518" s="97">
        <f>'виды работ  (2)'!C517</f>
        <v>8472943</v>
      </c>
      <c r="M518" s="97">
        <v>0</v>
      </c>
      <c r="N518" s="97">
        <v>0</v>
      </c>
      <c r="O518" s="97">
        <v>0</v>
      </c>
      <c r="P518" s="97">
        <f t="shared" si="104"/>
        <v>8472943</v>
      </c>
      <c r="Q518" s="97">
        <f t="shared" si="105"/>
        <v>1814.3346895074947</v>
      </c>
      <c r="R518" s="97">
        <v>42000</v>
      </c>
      <c r="S518" s="55" t="s">
        <v>843</v>
      </c>
      <c r="T518" s="92" t="s">
        <v>773</v>
      </c>
      <c r="X518" s="190"/>
    </row>
    <row r="519" spans="1:24" s="186" customFormat="1" ht="15">
      <c r="A519" s="72">
        <f t="shared" si="106"/>
        <v>404</v>
      </c>
      <c r="B519" s="82" t="s">
        <v>408</v>
      </c>
      <c r="C519" s="77">
        <v>1927</v>
      </c>
      <c r="D519" s="95"/>
      <c r="E519" s="92" t="s">
        <v>465</v>
      </c>
      <c r="F519" s="95">
        <v>2</v>
      </c>
      <c r="G519" s="95">
        <v>1</v>
      </c>
      <c r="H519" s="97">
        <v>456.6</v>
      </c>
      <c r="I519" s="97">
        <v>233.7</v>
      </c>
      <c r="J519" s="97">
        <v>178</v>
      </c>
      <c r="K519" s="96">
        <v>12</v>
      </c>
      <c r="L519" s="97">
        <f>'виды работ  (2)'!C518</f>
        <v>509229</v>
      </c>
      <c r="M519" s="97">
        <v>0</v>
      </c>
      <c r="N519" s="97">
        <v>0</v>
      </c>
      <c r="O519" s="97">
        <v>0</v>
      </c>
      <c r="P519" s="97">
        <f t="shared" si="104"/>
        <v>509229</v>
      </c>
      <c r="Q519" s="97">
        <f t="shared" si="105"/>
        <v>1115.262812089356</v>
      </c>
      <c r="R519" s="97">
        <v>42000</v>
      </c>
      <c r="S519" s="55" t="s">
        <v>843</v>
      </c>
      <c r="T519" s="92" t="s">
        <v>773</v>
      </c>
      <c r="X519" s="190"/>
    </row>
    <row r="520" spans="1:24" s="186" customFormat="1" ht="15">
      <c r="A520" s="72">
        <f t="shared" si="106"/>
        <v>405</v>
      </c>
      <c r="B520" s="59" t="s">
        <v>390</v>
      </c>
      <c r="C520" s="77">
        <v>1983</v>
      </c>
      <c r="D520" s="95"/>
      <c r="E520" s="92" t="s">
        <v>411</v>
      </c>
      <c r="F520" s="95">
        <v>5</v>
      </c>
      <c r="G520" s="95">
        <v>8</v>
      </c>
      <c r="H520" s="97">
        <v>5056.7</v>
      </c>
      <c r="I520" s="97">
        <v>3088</v>
      </c>
      <c r="J520" s="97">
        <v>2861</v>
      </c>
      <c r="K520" s="96">
        <v>147</v>
      </c>
      <c r="L520" s="97">
        <f>'виды работ  (2)'!C519</f>
        <v>2297079</v>
      </c>
      <c r="M520" s="97">
        <v>0</v>
      </c>
      <c r="N520" s="97">
        <v>0</v>
      </c>
      <c r="O520" s="97">
        <v>0</v>
      </c>
      <c r="P520" s="97">
        <f t="shared" si="104"/>
        <v>2297079</v>
      </c>
      <c r="Q520" s="97">
        <f t="shared" si="105"/>
        <v>454.26444123637947</v>
      </c>
      <c r="R520" s="97">
        <v>42000</v>
      </c>
      <c r="S520" s="55" t="s">
        <v>843</v>
      </c>
      <c r="T520" s="92" t="s">
        <v>773</v>
      </c>
      <c r="X520" s="190"/>
    </row>
    <row r="521" spans="1:24" s="186" customFormat="1" ht="15">
      <c r="A521" s="72">
        <f t="shared" si="106"/>
        <v>406</v>
      </c>
      <c r="B521" s="88" t="s">
        <v>389</v>
      </c>
      <c r="C521" s="77">
        <v>1988</v>
      </c>
      <c r="D521" s="95"/>
      <c r="E521" s="92" t="s">
        <v>411</v>
      </c>
      <c r="F521" s="95">
        <v>5</v>
      </c>
      <c r="G521" s="95">
        <v>6</v>
      </c>
      <c r="H521" s="97">
        <v>4866.3</v>
      </c>
      <c r="I521" s="97">
        <v>2894.3</v>
      </c>
      <c r="J521" s="97">
        <v>2547.3</v>
      </c>
      <c r="K521" s="96">
        <v>134</v>
      </c>
      <c r="L521" s="97">
        <f>'виды работ  (2)'!C520</f>
        <v>20932120</v>
      </c>
      <c r="M521" s="97">
        <v>0</v>
      </c>
      <c r="N521" s="97">
        <v>0</v>
      </c>
      <c r="O521" s="97">
        <v>0</v>
      </c>
      <c r="P521" s="97">
        <f t="shared" si="104"/>
        <v>20932120</v>
      </c>
      <c r="Q521" s="97">
        <f t="shared" si="105"/>
        <v>4301.444629389885</v>
      </c>
      <c r="R521" s="97">
        <v>42000</v>
      </c>
      <c r="S521" s="55" t="s">
        <v>843</v>
      </c>
      <c r="T521" s="92" t="s">
        <v>773</v>
      </c>
      <c r="X521" s="190"/>
    </row>
    <row r="522" spans="1:24" s="186" customFormat="1" ht="15">
      <c r="A522" s="72">
        <f t="shared" si="106"/>
        <v>407</v>
      </c>
      <c r="B522" s="82" t="s">
        <v>406</v>
      </c>
      <c r="C522" s="77">
        <v>1973</v>
      </c>
      <c r="D522" s="95"/>
      <c r="E522" s="92" t="s">
        <v>700</v>
      </c>
      <c r="F522" s="95">
        <v>2</v>
      </c>
      <c r="G522" s="95">
        <v>3</v>
      </c>
      <c r="H522" s="97">
        <v>1291.5</v>
      </c>
      <c r="I522" s="97">
        <v>688.6</v>
      </c>
      <c r="J522" s="97">
        <v>451.9</v>
      </c>
      <c r="K522" s="96">
        <v>24</v>
      </c>
      <c r="L522" s="97">
        <f>'виды работ  (2)'!C521</f>
        <v>2236522</v>
      </c>
      <c r="M522" s="97">
        <v>0</v>
      </c>
      <c r="N522" s="97">
        <v>0</v>
      </c>
      <c r="O522" s="97">
        <v>0</v>
      </c>
      <c r="P522" s="97">
        <f t="shared" si="104"/>
        <v>2236522</v>
      </c>
      <c r="Q522" s="97">
        <f t="shared" si="105"/>
        <v>1731.7243515292296</v>
      </c>
      <c r="R522" s="97">
        <v>42000</v>
      </c>
      <c r="S522" s="55" t="s">
        <v>843</v>
      </c>
      <c r="T522" s="92" t="s">
        <v>773</v>
      </c>
      <c r="X522" s="190"/>
    </row>
    <row r="523" spans="1:24" s="186" customFormat="1" ht="15">
      <c r="A523" s="72">
        <f t="shared" si="106"/>
        <v>408</v>
      </c>
      <c r="B523" s="88" t="s">
        <v>394</v>
      </c>
      <c r="C523" s="77">
        <v>1965</v>
      </c>
      <c r="D523" s="95"/>
      <c r="E523" s="92" t="s">
        <v>94</v>
      </c>
      <c r="F523" s="95">
        <v>2</v>
      </c>
      <c r="G523" s="95">
        <v>3</v>
      </c>
      <c r="H523" s="97">
        <v>816</v>
      </c>
      <c r="I523" s="97">
        <v>743.7</v>
      </c>
      <c r="J523" s="97">
        <v>572.8</v>
      </c>
      <c r="K523" s="96">
        <v>38</v>
      </c>
      <c r="L523" s="97">
        <f>'виды работ  (2)'!C522</f>
        <v>2596942</v>
      </c>
      <c r="M523" s="97">
        <v>0</v>
      </c>
      <c r="N523" s="97">
        <v>0</v>
      </c>
      <c r="O523" s="97">
        <v>0</v>
      </c>
      <c r="P523" s="97">
        <f t="shared" si="104"/>
        <v>2596942</v>
      </c>
      <c r="Q523" s="97">
        <f t="shared" si="105"/>
        <v>3182.526960784314</v>
      </c>
      <c r="R523" s="97">
        <v>42000</v>
      </c>
      <c r="S523" s="55" t="s">
        <v>843</v>
      </c>
      <c r="T523" s="92" t="s">
        <v>773</v>
      </c>
      <c r="X523" s="190"/>
    </row>
    <row r="524" spans="1:24" s="186" customFormat="1" ht="15">
      <c r="A524" s="72">
        <f t="shared" si="106"/>
        <v>409</v>
      </c>
      <c r="B524" s="88" t="s">
        <v>395</v>
      </c>
      <c r="C524" s="77">
        <v>1979</v>
      </c>
      <c r="D524" s="95"/>
      <c r="E524" s="92" t="s">
        <v>94</v>
      </c>
      <c r="F524" s="95">
        <v>2</v>
      </c>
      <c r="G524" s="95">
        <v>3</v>
      </c>
      <c r="H524" s="97">
        <v>976</v>
      </c>
      <c r="I524" s="97">
        <v>894.9</v>
      </c>
      <c r="J524" s="97">
        <v>806.7</v>
      </c>
      <c r="K524" s="96">
        <v>46</v>
      </c>
      <c r="L524" s="97">
        <f>'виды работ  (2)'!C523</f>
        <v>1585711</v>
      </c>
      <c r="M524" s="97">
        <v>0</v>
      </c>
      <c r="N524" s="97">
        <v>0</v>
      </c>
      <c r="O524" s="97">
        <v>0</v>
      </c>
      <c r="P524" s="97">
        <f t="shared" si="104"/>
        <v>1585711</v>
      </c>
      <c r="Q524" s="97">
        <f t="shared" si="105"/>
        <v>1624.703893442623</v>
      </c>
      <c r="R524" s="97">
        <v>42000</v>
      </c>
      <c r="S524" s="55" t="s">
        <v>843</v>
      </c>
      <c r="T524" s="92" t="s">
        <v>773</v>
      </c>
      <c r="X524" s="190"/>
    </row>
    <row r="525" spans="1:24" s="186" customFormat="1" ht="15">
      <c r="A525" s="72">
        <f t="shared" si="106"/>
        <v>410</v>
      </c>
      <c r="B525" s="88" t="s">
        <v>396</v>
      </c>
      <c r="C525" s="77">
        <v>1969</v>
      </c>
      <c r="D525" s="95"/>
      <c r="E525" s="92" t="s">
        <v>94</v>
      </c>
      <c r="F525" s="95">
        <v>2</v>
      </c>
      <c r="G525" s="95">
        <v>2</v>
      </c>
      <c r="H525" s="97">
        <v>579</v>
      </c>
      <c r="I525" s="97">
        <v>529.8</v>
      </c>
      <c r="J525" s="97">
        <v>475.4</v>
      </c>
      <c r="K525" s="96">
        <v>22</v>
      </c>
      <c r="L525" s="97">
        <f>'виды работ  (2)'!C524</f>
        <v>1021238</v>
      </c>
      <c r="M525" s="97">
        <v>0</v>
      </c>
      <c r="N525" s="97">
        <v>0</v>
      </c>
      <c r="O525" s="97">
        <v>0</v>
      </c>
      <c r="P525" s="97">
        <f t="shared" si="104"/>
        <v>1021238</v>
      </c>
      <c r="Q525" s="97">
        <f t="shared" si="105"/>
        <v>1763.7962003454231</v>
      </c>
      <c r="R525" s="97">
        <v>42000</v>
      </c>
      <c r="S525" s="55" t="s">
        <v>843</v>
      </c>
      <c r="T525" s="92" t="s">
        <v>773</v>
      </c>
      <c r="X525" s="190"/>
    </row>
    <row r="526" spans="1:24" s="186" customFormat="1" ht="15">
      <c r="A526" s="117" t="s">
        <v>597</v>
      </c>
      <c r="B526" s="117"/>
      <c r="C526" s="86" t="s">
        <v>430</v>
      </c>
      <c r="D526" s="86" t="s">
        <v>430</v>
      </c>
      <c r="E526" s="86" t="s">
        <v>430</v>
      </c>
      <c r="F526" s="86" t="s">
        <v>430</v>
      </c>
      <c r="G526" s="86" t="s">
        <v>430</v>
      </c>
      <c r="H526" s="97">
        <f>SUM(H495:H525)</f>
        <v>109840.54</v>
      </c>
      <c r="I526" s="97">
        <f aca="true" t="shared" si="107" ref="I526:P526">SUM(I495:I525)</f>
        <v>71739.40000000001</v>
      </c>
      <c r="J526" s="97">
        <f t="shared" si="107"/>
        <v>52031.09999999999</v>
      </c>
      <c r="K526" s="96">
        <f t="shared" si="107"/>
        <v>2819</v>
      </c>
      <c r="L526" s="97">
        <f t="shared" si="107"/>
        <v>110741802</v>
      </c>
      <c r="M526" s="97">
        <f t="shared" si="107"/>
        <v>0</v>
      </c>
      <c r="N526" s="97">
        <f t="shared" si="107"/>
        <v>0</v>
      </c>
      <c r="O526" s="97">
        <f t="shared" si="107"/>
        <v>0</v>
      </c>
      <c r="P526" s="97">
        <f t="shared" si="107"/>
        <v>110741802</v>
      </c>
      <c r="Q526" s="97">
        <f>L526/H526</f>
        <v>1008.2051854442814</v>
      </c>
      <c r="R526" s="56" t="s">
        <v>430</v>
      </c>
      <c r="S526" s="56" t="s">
        <v>430</v>
      </c>
      <c r="T526" s="56" t="s">
        <v>430</v>
      </c>
      <c r="U526" s="190"/>
      <c r="X526" s="190"/>
    </row>
    <row r="527" spans="1:24" s="186" customFormat="1" ht="15">
      <c r="A527" s="140" t="s">
        <v>640</v>
      </c>
      <c r="B527" s="140"/>
      <c r="C527" s="140"/>
      <c r="D527" s="81" t="s">
        <v>430</v>
      </c>
      <c r="E527" s="81" t="s">
        <v>430</v>
      </c>
      <c r="F527" s="81" t="s">
        <v>430</v>
      </c>
      <c r="G527" s="81" t="s">
        <v>430</v>
      </c>
      <c r="H527" s="97">
        <f>H526</f>
        <v>109840.54</v>
      </c>
      <c r="I527" s="97">
        <f aca="true" t="shared" si="108" ref="I527:P527">I526</f>
        <v>71739.40000000001</v>
      </c>
      <c r="J527" s="97">
        <f t="shared" si="108"/>
        <v>52031.09999999999</v>
      </c>
      <c r="K527" s="96">
        <f t="shared" si="108"/>
        <v>2819</v>
      </c>
      <c r="L527" s="97">
        <f t="shared" si="108"/>
        <v>110741802</v>
      </c>
      <c r="M527" s="97">
        <f t="shared" si="108"/>
        <v>0</v>
      </c>
      <c r="N527" s="97">
        <f t="shared" si="108"/>
        <v>0</v>
      </c>
      <c r="O527" s="97">
        <f t="shared" si="108"/>
        <v>0</v>
      </c>
      <c r="P527" s="97">
        <f t="shared" si="108"/>
        <v>110741802</v>
      </c>
      <c r="Q527" s="97">
        <f>L527/H527</f>
        <v>1008.2051854442814</v>
      </c>
      <c r="R527" s="56" t="s">
        <v>430</v>
      </c>
      <c r="S527" s="56" t="s">
        <v>430</v>
      </c>
      <c r="T527" s="56" t="s">
        <v>430</v>
      </c>
      <c r="U527" s="190"/>
      <c r="X527" s="190"/>
    </row>
    <row r="528" spans="1:24" s="186" customFormat="1" ht="15">
      <c r="A528" s="141" t="s">
        <v>641</v>
      </c>
      <c r="B528" s="142"/>
      <c r="C528" s="142"/>
      <c r="D528" s="142"/>
      <c r="E528" s="142"/>
      <c r="F528" s="142"/>
      <c r="G528" s="142"/>
      <c r="H528" s="142"/>
      <c r="I528" s="142"/>
      <c r="J528" s="142"/>
      <c r="K528" s="142"/>
      <c r="L528" s="142"/>
      <c r="M528" s="142"/>
      <c r="N528" s="142"/>
      <c r="O528" s="142"/>
      <c r="P528" s="142"/>
      <c r="Q528" s="142"/>
      <c r="R528" s="142"/>
      <c r="S528" s="142"/>
      <c r="T528" s="143"/>
      <c r="X528" s="190"/>
    </row>
    <row r="529" spans="1:24" s="186" customFormat="1" ht="15" customHeight="1">
      <c r="A529" s="124" t="s">
        <v>642</v>
      </c>
      <c r="B529" s="125"/>
      <c r="C529" s="125"/>
      <c r="D529" s="125"/>
      <c r="E529" s="126"/>
      <c r="F529" s="178"/>
      <c r="G529" s="178"/>
      <c r="H529" s="178"/>
      <c r="I529" s="178"/>
      <c r="J529" s="178"/>
      <c r="K529" s="178"/>
      <c r="L529" s="178"/>
      <c r="M529" s="178"/>
      <c r="N529" s="178"/>
      <c r="O529" s="178"/>
      <c r="P529" s="178"/>
      <c r="Q529" s="178"/>
      <c r="R529" s="178"/>
      <c r="S529" s="178"/>
      <c r="T529" s="178"/>
      <c r="X529" s="190"/>
    </row>
    <row r="530" spans="1:24" s="186" customFormat="1" ht="15">
      <c r="A530" s="39">
        <f>A525+1</f>
        <v>411</v>
      </c>
      <c r="B530" s="59" t="s">
        <v>426</v>
      </c>
      <c r="C530" s="92">
        <v>1976</v>
      </c>
      <c r="D530" s="95"/>
      <c r="E530" s="92" t="s">
        <v>411</v>
      </c>
      <c r="F530" s="95">
        <v>5</v>
      </c>
      <c r="G530" s="95">
        <v>4</v>
      </c>
      <c r="H530" s="97">
        <v>3265.8</v>
      </c>
      <c r="I530" s="97">
        <v>3265.8</v>
      </c>
      <c r="J530" s="97">
        <v>2562.2</v>
      </c>
      <c r="K530" s="96">
        <v>175</v>
      </c>
      <c r="L530" s="97">
        <f>'виды работ  (2)'!C529</f>
        <v>1465542</v>
      </c>
      <c r="M530" s="97">
        <v>0</v>
      </c>
      <c r="N530" s="97">
        <v>0</v>
      </c>
      <c r="O530" s="97">
        <v>0</v>
      </c>
      <c r="P530" s="97">
        <f>L530</f>
        <v>1465542</v>
      </c>
      <c r="Q530" s="97">
        <f>L530/H530</f>
        <v>448.7543634025353</v>
      </c>
      <c r="R530" s="97">
        <v>42000</v>
      </c>
      <c r="S530" s="55" t="s">
        <v>843</v>
      </c>
      <c r="T530" s="92" t="s">
        <v>773</v>
      </c>
      <c r="X530" s="190"/>
    </row>
    <row r="531" spans="1:24" s="186" customFormat="1" ht="15">
      <c r="A531" s="39">
        <f>A530+1</f>
        <v>412</v>
      </c>
      <c r="B531" s="59" t="s">
        <v>427</v>
      </c>
      <c r="C531" s="92">
        <v>1980</v>
      </c>
      <c r="D531" s="95"/>
      <c r="E531" s="92" t="s">
        <v>411</v>
      </c>
      <c r="F531" s="95">
        <v>5</v>
      </c>
      <c r="G531" s="95">
        <v>6</v>
      </c>
      <c r="H531" s="97">
        <v>4863.6</v>
      </c>
      <c r="I531" s="97">
        <v>4863.6</v>
      </c>
      <c r="J531" s="97">
        <v>4575.5</v>
      </c>
      <c r="K531" s="96">
        <v>227</v>
      </c>
      <c r="L531" s="97">
        <f>'виды работ  (2)'!C530</f>
        <v>2179773</v>
      </c>
      <c r="M531" s="97">
        <v>0</v>
      </c>
      <c r="N531" s="97">
        <v>0</v>
      </c>
      <c r="O531" s="97">
        <v>0</v>
      </c>
      <c r="P531" s="97">
        <f>L531</f>
        <v>2179773</v>
      </c>
      <c r="Q531" s="97">
        <f>L531/H531</f>
        <v>448.18097705403403</v>
      </c>
      <c r="R531" s="97">
        <v>42000</v>
      </c>
      <c r="S531" s="55" t="s">
        <v>843</v>
      </c>
      <c r="T531" s="92" t="s">
        <v>773</v>
      </c>
      <c r="X531" s="190"/>
    </row>
    <row r="532" spans="1:24" s="43" customFormat="1" ht="15">
      <c r="A532" s="39">
        <f>A531+1</f>
        <v>413</v>
      </c>
      <c r="B532" s="78" t="s">
        <v>761</v>
      </c>
      <c r="C532" s="95">
        <v>1985</v>
      </c>
      <c r="D532" s="92"/>
      <c r="E532" s="92" t="s">
        <v>411</v>
      </c>
      <c r="F532" s="95">
        <v>5</v>
      </c>
      <c r="G532" s="95">
        <v>12</v>
      </c>
      <c r="H532" s="97">
        <v>9920.5</v>
      </c>
      <c r="I532" s="97">
        <v>9920.5</v>
      </c>
      <c r="J532" s="97">
        <v>8525.5</v>
      </c>
      <c r="K532" s="96">
        <v>587</v>
      </c>
      <c r="L532" s="97">
        <f>'виды работ  (2)'!C531</f>
        <v>34936102</v>
      </c>
      <c r="M532" s="86">
        <v>0</v>
      </c>
      <c r="N532" s="86">
        <v>0</v>
      </c>
      <c r="O532" s="86">
        <v>0</v>
      </c>
      <c r="P532" s="86">
        <f>L532</f>
        <v>34936102</v>
      </c>
      <c r="Q532" s="86">
        <f>L532/H532</f>
        <v>3521.606975454866</v>
      </c>
      <c r="R532" s="97">
        <v>42000</v>
      </c>
      <c r="S532" s="55" t="s">
        <v>843</v>
      </c>
      <c r="T532" s="92" t="s">
        <v>773</v>
      </c>
      <c r="X532" s="190"/>
    </row>
    <row r="533" spans="1:24" s="186" customFormat="1" ht="15">
      <c r="A533" s="39">
        <f>A532+1</f>
        <v>414</v>
      </c>
      <c r="B533" s="59" t="s">
        <v>428</v>
      </c>
      <c r="C533" s="92">
        <v>1985</v>
      </c>
      <c r="D533" s="95"/>
      <c r="E533" s="92" t="s">
        <v>411</v>
      </c>
      <c r="F533" s="95">
        <v>5</v>
      </c>
      <c r="G533" s="95">
        <v>4</v>
      </c>
      <c r="H533" s="97">
        <v>3240</v>
      </c>
      <c r="I533" s="97">
        <v>3240</v>
      </c>
      <c r="J533" s="97">
        <v>3000</v>
      </c>
      <c r="K533" s="96">
        <v>161</v>
      </c>
      <c r="L533" s="97">
        <f>'виды работ  (2)'!C532</f>
        <v>1461144</v>
      </c>
      <c r="M533" s="97">
        <v>0</v>
      </c>
      <c r="N533" s="97">
        <v>0</v>
      </c>
      <c r="O533" s="97">
        <v>0</v>
      </c>
      <c r="P533" s="97">
        <f>L533</f>
        <v>1461144</v>
      </c>
      <c r="Q533" s="97">
        <f>L533/H533</f>
        <v>450.97037037037035</v>
      </c>
      <c r="R533" s="97">
        <v>42000</v>
      </c>
      <c r="S533" s="55" t="s">
        <v>843</v>
      </c>
      <c r="T533" s="92" t="s">
        <v>773</v>
      </c>
      <c r="X533" s="190"/>
    </row>
    <row r="534" spans="1:24" s="186" customFormat="1" ht="15">
      <c r="A534" s="117" t="s">
        <v>597</v>
      </c>
      <c r="B534" s="117"/>
      <c r="C534" s="86" t="s">
        <v>430</v>
      </c>
      <c r="D534" s="86" t="s">
        <v>430</v>
      </c>
      <c r="E534" s="86" t="s">
        <v>430</v>
      </c>
      <c r="F534" s="86" t="s">
        <v>430</v>
      </c>
      <c r="G534" s="86" t="s">
        <v>430</v>
      </c>
      <c r="H534" s="97">
        <f>SUM(H530:H533)</f>
        <v>21289.9</v>
      </c>
      <c r="I534" s="97">
        <f aca="true" t="shared" si="109" ref="I534:P534">SUM(I530:I533)</f>
        <v>21289.9</v>
      </c>
      <c r="J534" s="97">
        <f t="shared" si="109"/>
        <v>18663.2</v>
      </c>
      <c r="K534" s="96">
        <f t="shared" si="109"/>
        <v>1150</v>
      </c>
      <c r="L534" s="97">
        <f t="shared" si="109"/>
        <v>40042561</v>
      </c>
      <c r="M534" s="97">
        <f t="shared" si="109"/>
        <v>0</v>
      </c>
      <c r="N534" s="97">
        <f t="shared" si="109"/>
        <v>0</v>
      </c>
      <c r="O534" s="97">
        <f t="shared" si="109"/>
        <v>0</v>
      </c>
      <c r="P534" s="97">
        <f t="shared" si="109"/>
        <v>40042561</v>
      </c>
      <c r="Q534" s="97">
        <f>L534/H534</f>
        <v>1880.8242875729804</v>
      </c>
      <c r="R534" s="56" t="s">
        <v>430</v>
      </c>
      <c r="S534" s="56" t="s">
        <v>430</v>
      </c>
      <c r="T534" s="56" t="s">
        <v>430</v>
      </c>
      <c r="U534" s="190"/>
      <c r="X534" s="190"/>
    </row>
    <row r="535" spans="1:24" s="186" customFormat="1" ht="15" customHeight="1">
      <c r="A535" s="105" t="s">
        <v>687</v>
      </c>
      <c r="B535" s="110"/>
      <c r="C535" s="110"/>
      <c r="D535" s="110"/>
      <c r="E535" s="106"/>
      <c r="F535" s="178"/>
      <c r="G535" s="178"/>
      <c r="H535" s="178"/>
      <c r="I535" s="178"/>
      <c r="J535" s="178"/>
      <c r="K535" s="178"/>
      <c r="L535" s="178"/>
      <c r="M535" s="178"/>
      <c r="N535" s="178"/>
      <c r="O535" s="178"/>
      <c r="P535" s="178"/>
      <c r="Q535" s="178"/>
      <c r="R535" s="178"/>
      <c r="S535" s="178"/>
      <c r="T535" s="178"/>
      <c r="X535" s="190"/>
    </row>
    <row r="536" spans="1:24" s="186" customFormat="1" ht="15">
      <c r="A536" s="39">
        <f>A533+1</f>
        <v>415</v>
      </c>
      <c r="B536" s="59" t="s">
        <v>429</v>
      </c>
      <c r="C536" s="212">
        <v>1989</v>
      </c>
      <c r="D536" s="212"/>
      <c r="E536" s="92" t="s">
        <v>411</v>
      </c>
      <c r="F536" s="212">
        <v>4</v>
      </c>
      <c r="G536" s="212">
        <v>4</v>
      </c>
      <c r="H536" s="213">
        <v>4102.8</v>
      </c>
      <c r="I536" s="213">
        <v>4102.8</v>
      </c>
      <c r="J536" s="213">
        <v>3392.61</v>
      </c>
      <c r="K536" s="214">
        <v>210</v>
      </c>
      <c r="L536" s="97">
        <f>'виды работ  (2)'!C535</f>
        <v>10981014</v>
      </c>
      <c r="M536" s="97">
        <v>0</v>
      </c>
      <c r="N536" s="97">
        <v>0</v>
      </c>
      <c r="O536" s="97">
        <v>0</v>
      </c>
      <c r="P536" s="97">
        <f>L536</f>
        <v>10981014</v>
      </c>
      <c r="Q536" s="97">
        <f>L536/H536</f>
        <v>2676.4682655747292</v>
      </c>
      <c r="R536" s="97">
        <v>42000</v>
      </c>
      <c r="S536" s="55" t="s">
        <v>843</v>
      </c>
      <c r="T536" s="92" t="s">
        <v>773</v>
      </c>
      <c r="X536" s="190"/>
    </row>
    <row r="537" spans="1:24" s="186" customFormat="1" ht="15">
      <c r="A537" s="117" t="s">
        <v>597</v>
      </c>
      <c r="B537" s="117"/>
      <c r="C537" s="86" t="s">
        <v>430</v>
      </c>
      <c r="D537" s="86" t="s">
        <v>430</v>
      </c>
      <c r="E537" s="86" t="s">
        <v>430</v>
      </c>
      <c r="F537" s="86" t="s">
        <v>430</v>
      </c>
      <c r="G537" s="86" t="s">
        <v>430</v>
      </c>
      <c r="H537" s="97">
        <f>H536</f>
        <v>4102.8</v>
      </c>
      <c r="I537" s="97">
        <f>I536</f>
        <v>4102.8</v>
      </c>
      <c r="J537" s="97">
        <f>J536</f>
        <v>3392.61</v>
      </c>
      <c r="K537" s="96">
        <f>K536</f>
        <v>210</v>
      </c>
      <c r="L537" s="97">
        <f>SUM(L536:L536)</f>
        <v>10981014</v>
      </c>
      <c r="M537" s="97">
        <f>SUM(M536:M536)</f>
        <v>0</v>
      </c>
      <c r="N537" s="97">
        <f>SUM(N536:N536)</f>
        <v>0</v>
      </c>
      <c r="O537" s="97">
        <f>SUM(O536:O536)</f>
        <v>0</v>
      </c>
      <c r="P537" s="97">
        <f>SUM(P536:P536)</f>
        <v>10981014</v>
      </c>
      <c r="Q537" s="97">
        <f>L537/H537</f>
        <v>2676.4682655747292</v>
      </c>
      <c r="R537" s="56" t="s">
        <v>430</v>
      </c>
      <c r="S537" s="56" t="s">
        <v>430</v>
      </c>
      <c r="T537" s="56" t="s">
        <v>430</v>
      </c>
      <c r="U537" s="190"/>
      <c r="X537" s="190"/>
    </row>
    <row r="538" spans="1:24" s="186" customFormat="1" ht="15">
      <c r="A538" s="105" t="s">
        <v>643</v>
      </c>
      <c r="B538" s="110"/>
      <c r="C538" s="110"/>
      <c r="D538" s="110"/>
      <c r="E538" s="106"/>
      <c r="F538" s="178"/>
      <c r="G538" s="178"/>
      <c r="H538" s="178"/>
      <c r="I538" s="178"/>
      <c r="J538" s="178"/>
      <c r="K538" s="178"/>
      <c r="L538" s="178"/>
      <c r="M538" s="178"/>
      <c r="N538" s="178"/>
      <c r="O538" s="178"/>
      <c r="P538" s="178"/>
      <c r="Q538" s="178"/>
      <c r="R538" s="178"/>
      <c r="S538" s="178"/>
      <c r="T538" s="178"/>
      <c r="X538" s="190"/>
    </row>
    <row r="539" spans="1:24" s="186" customFormat="1" ht="15">
      <c r="A539" s="72">
        <f>A536+1</f>
        <v>416</v>
      </c>
      <c r="B539" s="188" t="s">
        <v>412</v>
      </c>
      <c r="C539" s="92">
        <v>1985</v>
      </c>
      <c r="D539" s="95"/>
      <c r="E539" s="92" t="s">
        <v>411</v>
      </c>
      <c r="F539" s="95">
        <v>5</v>
      </c>
      <c r="G539" s="95">
        <v>6</v>
      </c>
      <c r="H539" s="97">
        <v>4817</v>
      </c>
      <c r="I539" s="97">
        <v>4817</v>
      </c>
      <c r="J539" s="97">
        <v>4529.71</v>
      </c>
      <c r="K539" s="96">
        <v>240</v>
      </c>
      <c r="L539" s="97">
        <f>'виды работ  (2)'!C538</f>
        <v>12995717</v>
      </c>
      <c r="M539" s="97">
        <v>0</v>
      </c>
      <c r="N539" s="97">
        <v>0</v>
      </c>
      <c r="O539" s="97">
        <v>0</v>
      </c>
      <c r="P539" s="97">
        <f>L539</f>
        <v>12995717</v>
      </c>
      <c r="Q539" s="97">
        <f>L539/H539</f>
        <v>2697.8860286485365</v>
      </c>
      <c r="R539" s="97">
        <v>42000</v>
      </c>
      <c r="S539" s="55" t="s">
        <v>843</v>
      </c>
      <c r="T539" s="92" t="s">
        <v>773</v>
      </c>
      <c r="X539" s="190"/>
    </row>
    <row r="540" spans="1:24" s="186" customFormat="1" ht="15">
      <c r="A540" s="72">
        <f>A539+1</f>
        <v>417</v>
      </c>
      <c r="B540" s="188" t="s">
        <v>413</v>
      </c>
      <c r="C540" s="92">
        <v>1994</v>
      </c>
      <c r="D540" s="95"/>
      <c r="E540" s="92" t="s">
        <v>94</v>
      </c>
      <c r="F540" s="95">
        <v>5</v>
      </c>
      <c r="G540" s="95">
        <v>4</v>
      </c>
      <c r="H540" s="97">
        <v>3510.1</v>
      </c>
      <c r="I540" s="97">
        <v>3510.1</v>
      </c>
      <c r="J540" s="97">
        <v>1985.7</v>
      </c>
      <c r="K540" s="96">
        <v>91</v>
      </c>
      <c r="L540" s="97">
        <f>'виды работ  (2)'!C539</f>
        <v>2106617</v>
      </c>
      <c r="M540" s="97">
        <v>0</v>
      </c>
      <c r="N540" s="97">
        <v>0</v>
      </c>
      <c r="O540" s="97">
        <v>0</v>
      </c>
      <c r="P540" s="97">
        <f>L540</f>
        <v>2106617</v>
      </c>
      <c r="Q540" s="97">
        <f>L540/H540</f>
        <v>600.1586849377511</v>
      </c>
      <c r="R540" s="97">
        <v>42000</v>
      </c>
      <c r="S540" s="55" t="s">
        <v>843</v>
      </c>
      <c r="T540" s="92" t="s">
        <v>773</v>
      </c>
      <c r="X540" s="190"/>
    </row>
    <row r="541" spans="1:24" s="186" customFormat="1" ht="15">
      <c r="A541" s="117" t="s">
        <v>597</v>
      </c>
      <c r="B541" s="117"/>
      <c r="C541" s="86" t="s">
        <v>430</v>
      </c>
      <c r="D541" s="86" t="s">
        <v>430</v>
      </c>
      <c r="E541" s="86" t="s">
        <v>430</v>
      </c>
      <c r="F541" s="86" t="s">
        <v>430</v>
      </c>
      <c r="G541" s="86" t="s">
        <v>430</v>
      </c>
      <c r="H541" s="97">
        <f>SUM(H539:H540)</f>
        <v>8327.1</v>
      </c>
      <c r="I541" s="97">
        <f aca="true" t="shared" si="110" ref="I541:P541">SUM(I539:I540)</f>
        <v>8327.1</v>
      </c>
      <c r="J541" s="97">
        <f t="shared" si="110"/>
        <v>6515.41</v>
      </c>
      <c r="K541" s="96">
        <f t="shared" si="110"/>
        <v>331</v>
      </c>
      <c r="L541" s="97">
        <f t="shared" si="110"/>
        <v>15102334</v>
      </c>
      <c r="M541" s="97">
        <f t="shared" si="110"/>
        <v>0</v>
      </c>
      <c r="N541" s="97">
        <f t="shared" si="110"/>
        <v>0</v>
      </c>
      <c r="O541" s="97">
        <f t="shared" si="110"/>
        <v>0</v>
      </c>
      <c r="P541" s="97">
        <f t="shared" si="110"/>
        <v>15102334</v>
      </c>
      <c r="Q541" s="97">
        <f>L541/H541</f>
        <v>1813.636680236817</v>
      </c>
      <c r="R541" s="56" t="s">
        <v>430</v>
      </c>
      <c r="S541" s="56" t="s">
        <v>430</v>
      </c>
      <c r="T541" s="56" t="s">
        <v>430</v>
      </c>
      <c r="U541" s="190"/>
      <c r="X541" s="190"/>
    </row>
    <row r="542" spans="1:24" s="186" customFormat="1" ht="15">
      <c r="A542" s="105" t="s">
        <v>644</v>
      </c>
      <c r="B542" s="110"/>
      <c r="C542" s="110"/>
      <c r="D542" s="110"/>
      <c r="E542" s="106"/>
      <c r="F542" s="178"/>
      <c r="G542" s="178"/>
      <c r="H542" s="178"/>
      <c r="I542" s="178"/>
      <c r="J542" s="178"/>
      <c r="K542" s="178"/>
      <c r="L542" s="178"/>
      <c r="M542" s="178"/>
      <c r="N542" s="178"/>
      <c r="O542" s="178"/>
      <c r="P542" s="178"/>
      <c r="Q542" s="178"/>
      <c r="R542" s="178"/>
      <c r="S542" s="178"/>
      <c r="T542" s="178"/>
      <c r="X542" s="190"/>
    </row>
    <row r="543" spans="1:24" s="186" customFormat="1" ht="15">
      <c r="A543" s="39">
        <f>A540+1</f>
        <v>418</v>
      </c>
      <c r="B543" s="59" t="s">
        <v>419</v>
      </c>
      <c r="C543" s="92">
        <v>1969</v>
      </c>
      <c r="D543" s="95"/>
      <c r="E543" s="92" t="s">
        <v>94</v>
      </c>
      <c r="F543" s="95">
        <v>2</v>
      </c>
      <c r="G543" s="95">
        <v>2</v>
      </c>
      <c r="H543" s="97">
        <v>526.9</v>
      </c>
      <c r="I543" s="97">
        <v>526.9</v>
      </c>
      <c r="J543" s="97">
        <v>275.5</v>
      </c>
      <c r="K543" s="96">
        <v>22</v>
      </c>
      <c r="L543" s="97">
        <f>'виды работ  (2)'!C542</f>
        <v>512898</v>
      </c>
      <c r="M543" s="97">
        <v>0</v>
      </c>
      <c r="N543" s="97">
        <v>0</v>
      </c>
      <c r="O543" s="97">
        <v>0</v>
      </c>
      <c r="P543" s="97">
        <f>L543</f>
        <v>512898</v>
      </c>
      <c r="Q543" s="97">
        <f>L543/H543</f>
        <v>973.4256974758019</v>
      </c>
      <c r="R543" s="97">
        <v>42000</v>
      </c>
      <c r="S543" s="55" t="s">
        <v>843</v>
      </c>
      <c r="T543" s="92" t="s">
        <v>773</v>
      </c>
      <c r="X543" s="190"/>
    </row>
    <row r="544" spans="1:24" s="186" customFormat="1" ht="15">
      <c r="A544" s="39">
        <f>A543+1</f>
        <v>419</v>
      </c>
      <c r="B544" s="59" t="s">
        <v>420</v>
      </c>
      <c r="C544" s="92">
        <v>1969</v>
      </c>
      <c r="D544" s="95"/>
      <c r="E544" s="92" t="s">
        <v>94</v>
      </c>
      <c r="F544" s="95">
        <v>2</v>
      </c>
      <c r="G544" s="95">
        <v>2</v>
      </c>
      <c r="H544" s="97">
        <v>533.5</v>
      </c>
      <c r="I544" s="97">
        <v>533.5</v>
      </c>
      <c r="J544" s="97">
        <v>303.4</v>
      </c>
      <c r="K544" s="96">
        <v>24</v>
      </c>
      <c r="L544" s="97">
        <f>'виды работ  (2)'!C543</f>
        <v>512898</v>
      </c>
      <c r="M544" s="97">
        <v>0</v>
      </c>
      <c r="N544" s="97">
        <v>0</v>
      </c>
      <c r="O544" s="97">
        <v>0</v>
      </c>
      <c r="P544" s="97">
        <f>L544</f>
        <v>512898</v>
      </c>
      <c r="Q544" s="97">
        <f>L544/H544</f>
        <v>961.3833177132146</v>
      </c>
      <c r="R544" s="97">
        <v>42000</v>
      </c>
      <c r="S544" s="55" t="s">
        <v>843</v>
      </c>
      <c r="T544" s="92" t="s">
        <v>773</v>
      </c>
      <c r="X544" s="190"/>
    </row>
    <row r="545" spans="1:24" s="186" customFormat="1" ht="15">
      <c r="A545" s="39">
        <f>A544+1</f>
        <v>420</v>
      </c>
      <c r="B545" s="59" t="s">
        <v>418</v>
      </c>
      <c r="C545" s="92">
        <v>1970</v>
      </c>
      <c r="D545" s="95"/>
      <c r="E545" s="92" t="s">
        <v>94</v>
      </c>
      <c r="F545" s="95">
        <v>4</v>
      </c>
      <c r="G545" s="95">
        <v>4</v>
      </c>
      <c r="H545" s="97">
        <v>2539.58</v>
      </c>
      <c r="I545" s="97">
        <v>2539.58</v>
      </c>
      <c r="J545" s="97">
        <v>1649.8</v>
      </c>
      <c r="K545" s="96">
        <v>130</v>
      </c>
      <c r="L545" s="97">
        <f>'виды работ  (2)'!C544</f>
        <v>4447416</v>
      </c>
      <c r="M545" s="97">
        <v>0</v>
      </c>
      <c r="N545" s="97">
        <v>0</v>
      </c>
      <c r="O545" s="97">
        <v>0</v>
      </c>
      <c r="P545" s="97">
        <f>L545</f>
        <v>4447416</v>
      </c>
      <c r="Q545" s="97">
        <f>L545/H545</f>
        <v>1751.2407563455374</v>
      </c>
      <c r="R545" s="97">
        <v>42000</v>
      </c>
      <c r="S545" s="55" t="s">
        <v>843</v>
      </c>
      <c r="T545" s="92" t="s">
        <v>773</v>
      </c>
      <c r="X545" s="190"/>
    </row>
    <row r="546" spans="1:24" s="186" customFormat="1" ht="15">
      <c r="A546" s="117" t="s">
        <v>597</v>
      </c>
      <c r="B546" s="117"/>
      <c r="C546" s="86" t="s">
        <v>430</v>
      </c>
      <c r="D546" s="86" t="s">
        <v>430</v>
      </c>
      <c r="E546" s="86" t="s">
        <v>430</v>
      </c>
      <c r="F546" s="86" t="s">
        <v>430</v>
      </c>
      <c r="G546" s="86" t="s">
        <v>430</v>
      </c>
      <c r="H546" s="97">
        <f>SUM(H543:H545)</f>
        <v>3599.98</v>
      </c>
      <c r="I546" s="97">
        <f aca="true" t="shared" si="111" ref="I546:P546">SUM(I543:I545)</f>
        <v>3599.98</v>
      </c>
      <c r="J546" s="97">
        <f t="shared" si="111"/>
        <v>2228.7</v>
      </c>
      <c r="K546" s="96">
        <f t="shared" si="111"/>
        <v>176</v>
      </c>
      <c r="L546" s="97">
        <f t="shared" si="111"/>
        <v>5473212</v>
      </c>
      <c r="M546" s="97">
        <f t="shared" si="111"/>
        <v>0</v>
      </c>
      <c r="N546" s="97">
        <f t="shared" si="111"/>
        <v>0</v>
      </c>
      <c r="O546" s="97">
        <f t="shared" si="111"/>
        <v>0</v>
      </c>
      <c r="P546" s="97">
        <f t="shared" si="111"/>
        <v>5473212</v>
      </c>
      <c r="Q546" s="97">
        <f>L546/H546</f>
        <v>1520.3451130284056</v>
      </c>
      <c r="R546" s="56" t="s">
        <v>430</v>
      </c>
      <c r="S546" s="56" t="s">
        <v>430</v>
      </c>
      <c r="T546" s="56" t="s">
        <v>430</v>
      </c>
      <c r="U546" s="190"/>
      <c r="X546" s="190"/>
    </row>
    <row r="547" spans="1:24" s="186" customFormat="1" ht="15" customHeight="1">
      <c r="A547" s="120" t="s">
        <v>690</v>
      </c>
      <c r="B547" s="121"/>
      <c r="C547" s="121"/>
      <c r="D547" s="121"/>
      <c r="E547" s="122"/>
      <c r="F547" s="178"/>
      <c r="G547" s="178"/>
      <c r="H547" s="178"/>
      <c r="I547" s="178"/>
      <c r="J547" s="178"/>
      <c r="K547" s="178"/>
      <c r="L547" s="178"/>
      <c r="M547" s="178"/>
      <c r="N547" s="178"/>
      <c r="O547" s="178"/>
      <c r="P547" s="178"/>
      <c r="Q547" s="178"/>
      <c r="R547" s="178"/>
      <c r="S547" s="178"/>
      <c r="T547" s="178"/>
      <c r="X547" s="190"/>
    </row>
    <row r="548" spans="1:24" s="186" customFormat="1" ht="15">
      <c r="A548" s="39">
        <f>A545+1</f>
        <v>421</v>
      </c>
      <c r="B548" s="59" t="s">
        <v>421</v>
      </c>
      <c r="C548" s="92">
        <v>1962</v>
      </c>
      <c r="D548" s="95"/>
      <c r="E548" s="95" t="s">
        <v>94</v>
      </c>
      <c r="F548" s="95">
        <v>3</v>
      </c>
      <c r="G548" s="95">
        <v>3</v>
      </c>
      <c r="H548" s="97">
        <v>1116</v>
      </c>
      <c r="I548" s="97">
        <v>1116</v>
      </c>
      <c r="J548" s="97">
        <v>0</v>
      </c>
      <c r="K548" s="96">
        <v>19</v>
      </c>
      <c r="L548" s="97">
        <f>'виды работ  (2)'!C547</f>
        <v>241772</v>
      </c>
      <c r="M548" s="97">
        <v>0</v>
      </c>
      <c r="N548" s="97">
        <v>0</v>
      </c>
      <c r="O548" s="97">
        <v>0</v>
      </c>
      <c r="P548" s="97">
        <f>L548</f>
        <v>241772</v>
      </c>
      <c r="Q548" s="97">
        <f aca="true" t="shared" si="112" ref="Q548:Q553">L548/H548</f>
        <v>216.6415770609319</v>
      </c>
      <c r="R548" s="97">
        <v>42000</v>
      </c>
      <c r="S548" s="55" t="s">
        <v>843</v>
      </c>
      <c r="T548" s="92" t="s">
        <v>773</v>
      </c>
      <c r="X548" s="190"/>
    </row>
    <row r="549" spans="1:24" s="186" customFormat="1" ht="15">
      <c r="A549" s="39">
        <f>A548+1</f>
        <v>422</v>
      </c>
      <c r="B549" s="59" t="s">
        <v>422</v>
      </c>
      <c r="C549" s="92">
        <v>1962</v>
      </c>
      <c r="D549" s="95"/>
      <c r="E549" s="95" t="s">
        <v>94</v>
      </c>
      <c r="F549" s="95">
        <v>3</v>
      </c>
      <c r="G549" s="95">
        <v>3</v>
      </c>
      <c r="H549" s="97">
        <v>1539</v>
      </c>
      <c r="I549" s="97">
        <v>1116</v>
      </c>
      <c r="J549" s="97">
        <v>0</v>
      </c>
      <c r="K549" s="96">
        <v>71</v>
      </c>
      <c r="L549" s="97">
        <f>'виды работ  (2)'!C548</f>
        <v>241772</v>
      </c>
      <c r="M549" s="97">
        <v>0</v>
      </c>
      <c r="N549" s="97">
        <v>0</v>
      </c>
      <c r="O549" s="97">
        <v>0</v>
      </c>
      <c r="P549" s="97">
        <f>L549</f>
        <v>241772</v>
      </c>
      <c r="Q549" s="97">
        <f t="shared" si="112"/>
        <v>157.09681611435997</v>
      </c>
      <c r="R549" s="97">
        <v>42000</v>
      </c>
      <c r="S549" s="55" t="s">
        <v>843</v>
      </c>
      <c r="T549" s="92" t="s">
        <v>773</v>
      </c>
      <c r="X549" s="190"/>
    </row>
    <row r="550" spans="1:24" s="186" customFormat="1" ht="15">
      <c r="A550" s="39">
        <f>A549+1</f>
        <v>423</v>
      </c>
      <c r="B550" s="59" t="s">
        <v>423</v>
      </c>
      <c r="C550" s="92">
        <v>1962</v>
      </c>
      <c r="D550" s="95"/>
      <c r="E550" s="95" t="s">
        <v>94</v>
      </c>
      <c r="F550" s="95">
        <v>3</v>
      </c>
      <c r="G550" s="95">
        <v>3</v>
      </c>
      <c r="H550" s="97">
        <v>1116</v>
      </c>
      <c r="I550" s="97">
        <v>1116</v>
      </c>
      <c r="J550" s="97">
        <v>0</v>
      </c>
      <c r="K550" s="96">
        <v>1</v>
      </c>
      <c r="L550" s="97">
        <f>'виды работ  (2)'!C549</f>
        <v>241772</v>
      </c>
      <c r="M550" s="97">
        <v>0</v>
      </c>
      <c r="N550" s="97">
        <v>0</v>
      </c>
      <c r="O550" s="97">
        <v>0</v>
      </c>
      <c r="P550" s="97">
        <f>L550</f>
        <v>241772</v>
      </c>
      <c r="Q550" s="97">
        <f t="shared" si="112"/>
        <v>216.6415770609319</v>
      </c>
      <c r="R550" s="97">
        <v>42000</v>
      </c>
      <c r="S550" s="55" t="s">
        <v>843</v>
      </c>
      <c r="T550" s="92" t="s">
        <v>773</v>
      </c>
      <c r="X550" s="190"/>
    </row>
    <row r="551" spans="1:24" s="186" customFormat="1" ht="15">
      <c r="A551" s="39">
        <f>A550+1</f>
        <v>424</v>
      </c>
      <c r="B551" s="59" t="s">
        <v>424</v>
      </c>
      <c r="C551" s="92">
        <v>1962</v>
      </c>
      <c r="D551" s="95"/>
      <c r="E551" s="95" t="s">
        <v>94</v>
      </c>
      <c r="F551" s="95">
        <v>3</v>
      </c>
      <c r="G551" s="95">
        <v>3</v>
      </c>
      <c r="H551" s="97">
        <v>1116</v>
      </c>
      <c r="I551" s="97">
        <v>1116</v>
      </c>
      <c r="J551" s="97">
        <v>0</v>
      </c>
      <c r="K551" s="96">
        <v>4</v>
      </c>
      <c r="L551" s="97">
        <f>'виды работ  (2)'!C550</f>
        <v>3733711</v>
      </c>
      <c r="M551" s="97">
        <v>0</v>
      </c>
      <c r="N551" s="97">
        <v>0</v>
      </c>
      <c r="O551" s="97">
        <v>0</v>
      </c>
      <c r="P551" s="97">
        <f>L551</f>
        <v>3733711</v>
      </c>
      <c r="Q551" s="97">
        <f t="shared" si="112"/>
        <v>3345.61917562724</v>
      </c>
      <c r="R551" s="97">
        <v>42000</v>
      </c>
      <c r="S551" s="55" t="s">
        <v>843</v>
      </c>
      <c r="T551" s="92" t="s">
        <v>773</v>
      </c>
      <c r="X551" s="190"/>
    </row>
    <row r="552" spans="1:24" s="186" customFormat="1" ht="15.75" customHeight="1">
      <c r="A552" s="39">
        <f>A551+1</f>
        <v>425</v>
      </c>
      <c r="B552" s="59" t="s">
        <v>425</v>
      </c>
      <c r="C552" s="92">
        <v>1962</v>
      </c>
      <c r="D552" s="95"/>
      <c r="E552" s="95" t="s">
        <v>94</v>
      </c>
      <c r="F552" s="95">
        <v>3</v>
      </c>
      <c r="G552" s="95">
        <v>3</v>
      </c>
      <c r="H552" s="97">
        <v>1116</v>
      </c>
      <c r="I552" s="97">
        <v>1116</v>
      </c>
      <c r="J552" s="97">
        <v>0</v>
      </c>
      <c r="K552" s="96">
        <v>17</v>
      </c>
      <c r="L552" s="97">
        <f>'виды работ  (2)'!C551</f>
        <v>241772</v>
      </c>
      <c r="M552" s="97">
        <v>0</v>
      </c>
      <c r="N552" s="97">
        <v>0</v>
      </c>
      <c r="O552" s="97">
        <v>0</v>
      </c>
      <c r="P552" s="97">
        <f>L552</f>
        <v>241772</v>
      </c>
      <c r="Q552" s="97">
        <f t="shared" si="112"/>
        <v>216.6415770609319</v>
      </c>
      <c r="R552" s="97">
        <v>42000</v>
      </c>
      <c r="S552" s="55" t="s">
        <v>843</v>
      </c>
      <c r="T552" s="92" t="s">
        <v>773</v>
      </c>
      <c r="X552" s="190"/>
    </row>
    <row r="553" spans="1:24" s="186" customFormat="1" ht="15.75" customHeight="1">
      <c r="A553" s="117" t="s">
        <v>597</v>
      </c>
      <c r="B553" s="117"/>
      <c r="C553" s="86" t="s">
        <v>430</v>
      </c>
      <c r="D553" s="86" t="s">
        <v>430</v>
      </c>
      <c r="E553" s="86" t="s">
        <v>430</v>
      </c>
      <c r="F553" s="86" t="s">
        <v>430</v>
      </c>
      <c r="G553" s="86" t="s">
        <v>430</v>
      </c>
      <c r="H553" s="97">
        <f>SUM(H548:H552)</f>
        <v>6003</v>
      </c>
      <c r="I553" s="97">
        <f aca="true" t="shared" si="113" ref="I553:P553">SUM(I548:I552)</f>
        <v>5580</v>
      </c>
      <c r="J553" s="97">
        <f t="shared" si="113"/>
        <v>0</v>
      </c>
      <c r="K553" s="96">
        <f t="shared" si="113"/>
        <v>112</v>
      </c>
      <c r="L553" s="97">
        <f t="shared" si="113"/>
        <v>4700799</v>
      </c>
      <c r="M553" s="97">
        <f t="shared" si="113"/>
        <v>0</v>
      </c>
      <c r="N553" s="97">
        <f t="shared" si="113"/>
        <v>0</v>
      </c>
      <c r="O553" s="97">
        <f t="shared" si="113"/>
        <v>0</v>
      </c>
      <c r="P553" s="97">
        <f t="shared" si="113"/>
        <v>4700799</v>
      </c>
      <c r="Q553" s="97">
        <f t="shared" si="112"/>
        <v>783.0749625187407</v>
      </c>
      <c r="R553" s="56" t="s">
        <v>430</v>
      </c>
      <c r="S553" s="56" t="s">
        <v>430</v>
      </c>
      <c r="T553" s="56" t="s">
        <v>430</v>
      </c>
      <c r="U553" s="190"/>
      <c r="X553" s="190"/>
    </row>
    <row r="554" spans="1:24" s="186" customFormat="1" ht="15">
      <c r="A554" s="105" t="s">
        <v>689</v>
      </c>
      <c r="B554" s="110"/>
      <c r="C554" s="110"/>
      <c r="D554" s="110"/>
      <c r="E554" s="106"/>
      <c r="F554" s="178"/>
      <c r="G554" s="178"/>
      <c r="H554" s="178"/>
      <c r="I554" s="178"/>
      <c r="J554" s="178"/>
      <c r="K554" s="178"/>
      <c r="L554" s="178"/>
      <c r="M554" s="178"/>
      <c r="N554" s="178"/>
      <c r="O554" s="178"/>
      <c r="P554" s="178"/>
      <c r="Q554" s="178"/>
      <c r="R554" s="178"/>
      <c r="S554" s="178"/>
      <c r="T554" s="178"/>
      <c r="X554" s="190"/>
    </row>
    <row r="555" spans="1:24" s="186" customFormat="1" ht="15">
      <c r="A555" s="39">
        <f>A552+1</f>
        <v>426</v>
      </c>
      <c r="B555" s="59" t="s">
        <v>416</v>
      </c>
      <c r="C555" s="92">
        <v>1967</v>
      </c>
      <c r="D555" s="95"/>
      <c r="E555" s="95" t="s">
        <v>94</v>
      </c>
      <c r="F555" s="95">
        <v>2</v>
      </c>
      <c r="G555" s="95">
        <v>2</v>
      </c>
      <c r="H555" s="97">
        <v>509.4</v>
      </c>
      <c r="I555" s="97">
        <v>509.4</v>
      </c>
      <c r="J555" s="97">
        <v>288.1</v>
      </c>
      <c r="K555" s="96">
        <v>36</v>
      </c>
      <c r="L555" s="97">
        <f>'виды работ  (2)'!C554</f>
        <v>2529620</v>
      </c>
      <c r="M555" s="97">
        <v>0</v>
      </c>
      <c r="N555" s="97">
        <v>0</v>
      </c>
      <c r="O555" s="97">
        <v>0</v>
      </c>
      <c r="P555" s="97">
        <f>L555</f>
        <v>2529620</v>
      </c>
      <c r="Q555" s="97">
        <f>L555/H555</f>
        <v>4965.881429132312</v>
      </c>
      <c r="R555" s="97">
        <v>42000</v>
      </c>
      <c r="S555" s="55" t="s">
        <v>843</v>
      </c>
      <c r="T555" s="92" t="s">
        <v>773</v>
      </c>
      <c r="X555" s="190"/>
    </row>
    <row r="556" spans="1:24" s="186" customFormat="1" ht="15">
      <c r="A556" s="39">
        <f>A555+1</f>
        <v>427</v>
      </c>
      <c r="B556" s="59" t="s">
        <v>417</v>
      </c>
      <c r="C556" s="92">
        <v>1981</v>
      </c>
      <c r="D556" s="95"/>
      <c r="E556" s="92" t="s">
        <v>411</v>
      </c>
      <c r="F556" s="95">
        <v>5</v>
      </c>
      <c r="G556" s="95">
        <v>8</v>
      </c>
      <c r="H556" s="97">
        <v>6472.8</v>
      </c>
      <c r="I556" s="97">
        <v>6472.8</v>
      </c>
      <c r="J556" s="97">
        <v>3732.2</v>
      </c>
      <c r="K556" s="96">
        <v>357</v>
      </c>
      <c r="L556" s="97">
        <f>'виды работ  (2)'!C555</f>
        <v>765079</v>
      </c>
      <c r="M556" s="97">
        <v>0</v>
      </c>
      <c r="N556" s="97">
        <v>0</v>
      </c>
      <c r="O556" s="97">
        <v>0</v>
      </c>
      <c r="P556" s="97">
        <f>L556</f>
        <v>765079</v>
      </c>
      <c r="Q556" s="97">
        <f>L556/H556</f>
        <v>118.19907922382895</v>
      </c>
      <c r="R556" s="97">
        <v>42000</v>
      </c>
      <c r="S556" s="55" t="s">
        <v>843</v>
      </c>
      <c r="T556" s="92" t="s">
        <v>773</v>
      </c>
      <c r="X556" s="190"/>
    </row>
    <row r="557" spans="1:24" s="186" customFormat="1" ht="15">
      <c r="A557" s="117" t="s">
        <v>597</v>
      </c>
      <c r="B557" s="117"/>
      <c r="C557" s="86" t="s">
        <v>430</v>
      </c>
      <c r="D557" s="86" t="s">
        <v>430</v>
      </c>
      <c r="E557" s="86" t="s">
        <v>430</v>
      </c>
      <c r="F557" s="86" t="s">
        <v>430</v>
      </c>
      <c r="G557" s="86" t="s">
        <v>430</v>
      </c>
      <c r="H557" s="97">
        <f>SUM(H555:H556)</f>
        <v>6982.2</v>
      </c>
      <c r="I557" s="97">
        <f aca="true" t="shared" si="114" ref="I557:P557">SUM(I555:I556)</f>
        <v>6982.2</v>
      </c>
      <c r="J557" s="97">
        <f t="shared" si="114"/>
        <v>4020.2999999999997</v>
      </c>
      <c r="K557" s="96">
        <f t="shared" si="114"/>
        <v>393</v>
      </c>
      <c r="L557" s="97">
        <f t="shared" si="114"/>
        <v>3294699</v>
      </c>
      <c r="M557" s="97">
        <f t="shared" si="114"/>
        <v>0</v>
      </c>
      <c r="N557" s="97">
        <f t="shared" si="114"/>
        <v>0</v>
      </c>
      <c r="O557" s="97">
        <f t="shared" si="114"/>
        <v>0</v>
      </c>
      <c r="P557" s="97">
        <f t="shared" si="114"/>
        <v>3294699</v>
      </c>
      <c r="Q557" s="97">
        <f>L557/H557</f>
        <v>471.8711867319756</v>
      </c>
      <c r="R557" s="56" t="s">
        <v>430</v>
      </c>
      <c r="S557" s="56" t="s">
        <v>430</v>
      </c>
      <c r="T557" s="56" t="s">
        <v>430</v>
      </c>
      <c r="U557" s="190"/>
      <c r="X557" s="190"/>
    </row>
    <row r="558" spans="1:24" s="186" customFormat="1" ht="15">
      <c r="A558" s="105" t="s">
        <v>688</v>
      </c>
      <c r="B558" s="110"/>
      <c r="C558" s="110"/>
      <c r="D558" s="110"/>
      <c r="E558" s="106"/>
      <c r="F558" s="178"/>
      <c r="G558" s="178"/>
      <c r="H558" s="178"/>
      <c r="I558" s="178"/>
      <c r="J558" s="178"/>
      <c r="K558" s="178"/>
      <c r="L558" s="178"/>
      <c r="M558" s="178"/>
      <c r="N558" s="178"/>
      <c r="O558" s="178"/>
      <c r="P558" s="178"/>
      <c r="Q558" s="178"/>
      <c r="R558" s="178"/>
      <c r="S558" s="178"/>
      <c r="T558" s="178"/>
      <c r="X558" s="190"/>
    </row>
    <row r="559" spans="1:24" s="186" customFormat="1" ht="15">
      <c r="A559" s="39">
        <f>A556+1</f>
        <v>428</v>
      </c>
      <c r="B559" s="59" t="s">
        <v>415</v>
      </c>
      <c r="C559" s="92">
        <v>1970</v>
      </c>
      <c r="D559" s="95"/>
      <c r="E559" s="95" t="s">
        <v>94</v>
      </c>
      <c r="F559" s="95">
        <v>2</v>
      </c>
      <c r="G559" s="95">
        <v>2</v>
      </c>
      <c r="H559" s="97">
        <v>563.3</v>
      </c>
      <c r="I559" s="97">
        <v>563.3</v>
      </c>
      <c r="J559" s="97">
        <v>481.9</v>
      </c>
      <c r="K559" s="96">
        <v>28</v>
      </c>
      <c r="L559" s="97">
        <f>'виды работ  (2)'!C558</f>
        <v>994768</v>
      </c>
      <c r="M559" s="97">
        <v>0</v>
      </c>
      <c r="N559" s="97">
        <v>0</v>
      </c>
      <c r="O559" s="97">
        <v>0</v>
      </c>
      <c r="P559" s="97">
        <f>L559</f>
        <v>994768</v>
      </c>
      <c r="Q559" s="97">
        <f aca="true" t="shared" si="115" ref="Q559:Q564">L559/H559</f>
        <v>1765.9648499911239</v>
      </c>
      <c r="R559" s="97">
        <v>42000</v>
      </c>
      <c r="S559" s="55" t="s">
        <v>843</v>
      </c>
      <c r="T559" s="92" t="s">
        <v>773</v>
      </c>
      <c r="X559" s="190"/>
    </row>
    <row r="560" spans="1:24" s="186" customFormat="1" ht="15">
      <c r="A560" s="39">
        <f>A559+1</f>
        <v>429</v>
      </c>
      <c r="B560" s="59" t="s">
        <v>414</v>
      </c>
      <c r="C560" s="92">
        <v>1969</v>
      </c>
      <c r="D560" s="95"/>
      <c r="E560" s="95" t="s">
        <v>94</v>
      </c>
      <c r="F560" s="95">
        <v>2</v>
      </c>
      <c r="G560" s="95">
        <v>2</v>
      </c>
      <c r="H560" s="97">
        <v>564.2</v>
      </c>
      <c r="I560" s="97">
        <v>564.2</v>
      </c>
      <c r="J560" s="97">
        <v>418.2</v>
      </c>
      <c r="K560" s="96">
        <v>26</v>
      </c>
      <c r="L560" s="97">
        <f>'виды работ  (2)'!C559</f>
        <v>966976</v>
      </c>
      <c r="M560" s="97">
        <v>0</v>
      </c>
      <c r="N560" s="97">
        <v>0</v>
      </c>
      <c r="O560" s="97">
        <v>0</v>
      </c>
      <c r="P560" s="97">
        <f>L560</f>
        <v>966976</v>
      </c>
      <c r="Q560" s="97">
        <f t="shared" si="115"/>
        <v>1713.8886919532079</v>
      </c>
      <c r="R560" s="97">
        <v>42000</v>
      </c>
      <c r="S560" s="55" t="s">
        <v>843</v>
      </c>
      <c r="T560" s="92" t="s">
        <v>773</v>
      </c>
      <c r="X560" s="190"/>
    </row>
    <row r="561" spans="1:24" s="43" customFormat="1" ht="15">
      <c r="A561" s="39">
        <f>A560+1</f>
        <v>430</v>
      </c>
      <c r="B561" s="88" t="s">
        <v>762</v>
      </c>
      <c r="C561" s="95">
        <v>1965</v>
      </c>
      <c r="D561" s="95"/>
      <c r="E561" s="95" t="s">
        <v>94</v>
      </c>
      <c r="F561" s="95">
        <v>2</v>
      </c>
      <c r="G561" s="95">
        <v>1</v>
      </c>
      <c r="H561" s="97">
        <v>291.1</v>
      </c>
      <c r="I561" s="97">
        <v>179.7</v>
      </c>
      <c r="J561" s="97">
        <v>41.3</v>
      </c>
      <c r="K561" s="96">
        <v>18</v>
      </c>
      <c r="L561" s="97">
        <f>'виды работ  (2)'!C560</f>
        <v>230790</v>
      </c>
      <c r="M561" s="86">
        <v>0</v>
      </c>
      <c r="N561" s="86">
        <v>0</v>
      </c>
      <c r="O561" s="86">
        <v>0</v>
      </c>
      <c r="P561" s="86">
        <f>L561</f>
        <v>230790</v>
      </c>
      <c r="Q561" s="86">
        <f t="shared" si="115"/>
        <v>792.8203366540707</v>
      </c>
      <c r="R561" s="97">
        <v>42000</v>
      </c>
      <c r="S561" s="55" t="s">
        <v>843</v>
      </c>
      <c r="T561" s="92" t="s">
        <v>773</v>
      </c>
      <c r="X561" s="190"/>
    </row>
    <row r="562" spans="1:24" s="43" customFormat="1" ht="15">
      <c r="A562" s="39">
        <f>A561+1</f>
        <v>431</v>
      </c>
      <c r="B562" s="88" t="s">
        <v>763</v>
      </c>
      <c r="C562" s="95">
        <v>1967</v>
      </c>
      <c r="D562" s="95"/>
      <c r="E562" s="95" t="s">
        <v>94</v>
      </c>
      <c r="F562" s="95">
        <v>2</v>
      </c>
      <c r="G562" s="95">
        <v>2</v>
      </c>
      <c r="H562" s="97">
        <v>670.8</v>
      </c>
      <c r="I562" s="97">
        <v>422.6</v>
      </c>
      <c r="J562" s="97">
        <v>596.1</v>
      </c>
      <c r="K562" s="96">
        <v>39</v>
      </c>
      <c r="L562" s="97">
        <f>'виды работ  (2)'!C561</f>
        <v>476079</v>
      </c>
      <c r="M562" s="86">
        <v>0</v>
      </c>
      <c r="N562" s="86">
        <v>0</v>
      </c>
      <c r="O562" s="86">
        <v>0</v>
      </c>
      <c r="P562" s="86">
        <f>L562</f>
        <v>476079</v>
      </c>
      <c r="Q562" s="86">
        <f t="shared" si="115"/>
        <v>709.7182468694097</v>
      </c>
      <c r="R562" s="97">
        <v>42000</v>
      </c>
      <c r="S562" s="55" t="s">
        <v>843</v>
      </c>
      <c r="T562" s="92" t="s">
        <v>773</v>
      </c>
      <c r="X562" s="190"/>
    </row>
    <row r="563" spans="1:24" s="186" customFormat="1" ht="15">
      <c r="A563" s="117" t="s">
        <v>597</v>
      </c>
      <c r="B563" s="117"/>
      <c r="C563" s="86" t="s">
        <v>430</v>
      </c>
      <c r="D563" s="86" t="s">
        <v>430</v>
      </c>
      <c r="E563" s="86" t="s">
        <v>430</v>
      </c>
      <c r="F563" s="86" t="s">
        <v>430</v>
      </c>
      <c r="G563" s="86" t="s">
        <v>430</v>
      </c>
      <c r="H563" s="97">
        <f aca="true" t="shared" si="116" ref="H563:P563">SUM(H559:H562)</f>
        <v>2089.3999999999996</v>
      </c>
      <c r="I563" s="97">
        <f t="shared" si="116"/>
        <v>1729.8000000000002</v>
      </c>
      <c r="J563" s="97">
        <f t="shared" si="116"/>
        <v>1537.5</v>
      </c>
      <c r="K563" s="96">
        <f t="shared" si="116"/>
        <v>111</v>
      </c>
      <c r="L563" s="97">
        <f t="shared" si="116"/>
        <v>2668613</v>
      </c>
      <c r="M563" s="97">
        <f t="shared" si="116"/>
        <v>0</v>
      </c>
      <c r="N563" s="97">
        <f t="shared" si="116"/>
        <v>0</v>
      </c>
      <c r="O563" s="97">
        <f t="shared" si="116"/>
        <v>0</v>
      </c>
      <c r="P563" s="97">
        <f t="shared" si="116"/>
        <v>2668613</v>
      </c>
      <c r="Q563" s="97">
        <f t="shared" si="115"/>
        <v>1277.2149899492679</v>
      </c>
      <c r="R563" s="97">
        <v>42000</v>
      </c>
      <c r="S563" s="55" t="s">
        <v>843</v>
      </c>
      <c r="T563" s="92" t="s">
        <v>773</v>
      </c>
      <c r="U563" s="190"/>
      <c r="X563" s="190"/>
    </row>
    <row r="564" spans="1:24" s="186" customFormat="1" ht="15">
      <c r="A564" s="140" t="s">
        <v>645</v>
      </c>
      <c r="B564" s="140"/>
      <c r="C564" s="140"/>
      <c r="D564" s="81" t="s">
        <v>430</v>
      </c>
      <c r="E564" s="81" t="s">
        <v>430</v>
      </c>
      <c r="F564" s="81" t="s">
        <v>430</v>
      </c>
      <c r="G564" s="81" t="s">
        <v>430</v>
      </c>
      <c r="H564" s="97">
        <f aca="true" t="shared" si="117" ref="H564:P564">H563+H557+H553+H546+H541+H537+H534</f>
        <v>52394.380000000005</v>
      </c>
      <c r="I564" s="97">
        <f>I563+I557+I553+I546+I541+I537+I534</f>
        <v>51611.78</v>
      </c>
      <c r="J564" s="97">
        <f t="shared" si="117"/>
        <v>36357.72</v>
      </c>
      <c r="K564" s="96">
        <f t="shared" si="117"/>
        <v>2483</v>
      </c>
      <c r="L564" s="97">
        <f t="shared" si="117"/>
        <v>82263232</v>
      </c>
      <c r="M564" s="97">
        <f t="shared" si="117"/>
        <v>0</v>
      </c>
      <c r="N564" s="97">
        <f t="shared" si="117"/>
        <v>0</v>
      </c>
      <c r="O564" s="97">
        <f t="shared" si="117"/>
        <v>0</v>
      </c>
      <c r="P564" s="97">
        <f t="shared" si="117"/>
        <v>82263232</v>
      </c>
      <c r="Q564" s="97">
        <f t="shared" si="115"/>
        <v>1570.0774014312221</v>
      </c>
      <c r="R564" s="56" t="s">
        <v>430</v>
      </c>
      <c r="S564" s="56" t="s">
        <v>430</v>
      </c>
      <c r="T564" s="56" t="s">
        <v>430</v>
      </c>
      <c r="U564" s="190"/>
      <c r="X564" s="190"/>
    </row>
    <row r="565" spans="1:24" s="186" customFormat="1" ht="15">
      <c r="A565" s="215" t="s">
        <v>646</v>
      </c>
      <c r="B565" s="215"/>
      <c r="C565" s="215"/>
      <c r="D565" s="215"/>
      <c r="E565" s="215"/>
      <c r="F565" s="215"/>
      <c r="G565" s="215"/>
      <c r="H565" s="215"/>
      <c r="I565" s="215"/>
      <c r="J565" s="215"/>
      <c r="K565" s="215"/>
      <c r="L565" s="215"/>
      <c r="M565" s="215"/>
      <c r="N565" s="215"/>
      <c r="O565" s="215"/>
      <c r="P565" s="215"/>
      <c r="Q565" s="215"/>
      <c r="R565" s="215"/>
      <c r="S565" s="215"/>
      <c r="T565" s="215"/>
      <c r="U565" s="216"/>
      <c r="V565" s="216"/>
      <c r="X565" s="190"/>
    </row>
    <row r="566" spans="1:24" s="186" customFormat="1" ht="15" customHeight="1">
      <c r="A566" s="124" t="s">
        <v>647</v>
      </c>
      <c r="B566" s="125"/>
      <c r="C566" s="125"/>
      <c r="D566" s="125"/>
      <c r="E566" s="126"/>
      <c r="F566" s="178"/>
      <c r="G566" s="178"/>
      <c r="H566" s="178"/>
      <c r="I566" s="178"/>
      <c r="J566" s="178"/>
      <c r="K566" s="178"/>
      <c r="L566" s="178"/>
      <c r="M566" s="178"/>
      <c r="N566" s="178"/>
      <c r="O566" s="178"/>
      <c r="P566" s="178"/>
      <c r="Q566" s="178"/>
      <c r="R566" s="178"/>
      <c r="S566" s="178"/>
      <c r="T566" s="178"/>
      <c r="X566" s="190"/>
    </row>
    <row r="567" spans="1:24" s="186" customFormat="1" ht="15">
      <c r="A567" s="39">
        <f>A562+1</f>
        <v>432</v>
      </c>
      <c r="B567" s="13" t="s">
        <v>431</v>
      </c>
      <c r="C567" s="92">
        <v>1989</v>
      </c>
      <c r="D567" s="95"/>
      <c r="E567" s="92" t="s">
        <v>411</v>
      </c>
      <c r="F567" s="95">
        <v>3</v>
      </c>
      <c r="G567" s="95">
        <v>2</v>
      </c>
      <c r="H567" s="97">
        <v>1462.9</v>
      </c>
      <c r="I567" s="97">
        <v>792</v>
      </c>
      <c r="J567" s="97">
        <v>580.4</v>
      </c>
      <c r="K567" s="96">
        <v>161</v>
      </c>
      <c r="L567" s="97">
        <f>'виды работ  (2)'!C566</f>
        <v>1376606</v>
      </c>
      <c r="M567" s="97">
        <v>0</v>
      </c>
      <c r="N567" s="97">
        <v>0</v>
      </c>
      <c r="O567" s="97">
        <v>0</v>
      </c>
      <c r="P567" s="97">
        <f>L567</f>
        <v>1376606</v>
      </c>
      <c r="Q567" s="97">
        <f>L567/H567</f>
        <v>941.0116891106705</v>
      </c>
      <c r="R567" s="97">
        <v>42000</v>
      </c>
      <c r="S567" s="55" t="s">
        <v>843</v>
      </c>
      <c r="T567" s="92" t="s">
        <v>773</v>
      </c>
      <c r="X567" s="190"/>
    </row>
    <row r="568" spans="1:24" s="186" customFormat="1" ht="15" customHeight="1">
      <c r="A568" s="39">
        <f>A567+1</f>
        <v>433</v>
      </c>
      <c r="B568" s="13" t="s">
        <v>707</v>
      </c>
      <c r="C568" s="95">
        <v>1989</v>
      </c>
      <c r="D568" s="95"/>
      <c r="E568" s="92" t="s">
        <v>411</v>
      </c>
      <c r="F568" s="92">
        <v>3</v>
      </c>
      <c r="G568" s="92">
        <v>2</v>
      </c>
      <c r="H568" s="97">
        <v>1444.5</v>
      </c>
      <c r="I568" s="97">
        <v>790.2</v>
      </c>
      <c r="J568" s="97">
        <v>718.3</v>
      </c>
      <c r="K568" s="96">
        <v>64</v>
      </c>
      <c r="L568" s="97">
        <f>'виды работ  (2)'!C567</f>
        <v>1390286</v>
      </c>
      <c r="M568" s="97">
        <v>0</v>
      </c>
      <c r="N568" s="97">
        <v>0</v>
      </c>
      <c r="O568" s="97">
        <v>0</v>
      </c>
      <c r="P568" s="97">
        <f>L568</f>
        <v>1390286</v>
      </c>
      <c r="Q568" s="97">
        <f>L568/H568</f>
        <v>962.4686742817584</v>
      </c>
      <c r="R568" s="97">
        <v>42000</v>
      </c>
      <c r="S568" s="55" t="s">
        <v>843</v>
      </c>
      <c r="T568" s="92" t="s">
        <v>773</v>
      </c>
      <c r="X568" s="190"/>
    </row>
    <row r="569" spans="1:24" s="186" customFormat="1" ht="15">
      <c r="A569" s="117" t="s">
        <v>597</v>
      </c>
      <c r="B569" s="117"/>
      <c r="C569" s="86" t="s">
        <v>430</v>
      </c>
      <c r="D569" s="86" t="s">
        <v>430</v>
      </c>
      <c r="E569" s="86" t="s">
        <v>430</v>
      </c>
      <c r="F569" s="86" t="s">
        <v>430</v>
      </c>
      <c r="G569" s="86" t="s">
        <v>430</v>
      </c>
      <c r="H569" s="71">
        <f>SUM(H567:H568)</f>
        <v>2907.4</v>
      </c>
      <c r="I569" s="71">
        <f aca="true" t="shared" si="118" ref="I569:P569">SUM(I567:I568)</f>
        <v>1582.2</v>
      </c>
      <c r="J569" s="71">
        <f t="shared" si="118"/>
        <v>1298.6999999999998</v>
      </c>
      <c r="K569" s="197">
        <f t="shared" si="118"/>
        <v>225</v>
      </c>
      <c r="L569" s="71">
        <f t="shared" si="118"/>
        <v>2766892</v>
      </c>
      <c r="M569" s="71">
        <f t="shared" si="118"/>
        <v>0</v>
      </c>
      <c r="N569" s="71">
        <f t="shared" si="118"/>
        <v>0</v>
      </c>
      <c r="O569" s="71">
        <f t="shared" si="118"/>
        <v>0</v>
      </c>
      <c r="P569" s="71">
        <f t="shared" si="118"/>
        <v>2766892</v>
      </c>
      <c r="Q569" s="97">
        <f>L569/H569</f>
        <v>951.6722845153745</v>
      </c>
      <c r="R569" s="56" t="s">
        <v>430</v>
      </c>
      <c r="S569" s="56" t="s">
        <v>430</v>
      </c>
      <c r="T569" s="56" t="s">
        <v>430</v>
      </c>
      <c r="U569" s="190"/>
      <c r="V569" s="217"/>
      <c r="X569" s="190"/>
    </row>
    <row r="570" spans="1:24" s="186" customFormat="1" ht="15" customHeight="1">
      <c r="A570" s="105" t="s">
        <v>648</v>
      </c>
      <c r="B570" s="110"/>
      <c r="C570" s="110"/>
      <c r="D570" s="110"/>
      <c r="E570" s="106"/>
      <c r="F570" s="178"/>
      <c r="G570" s="178"/>
      <c r="H570" s="178"/>
      <c r="I570" s="178"/>
      <c r="J570" s="178"/>
      <c r="K570" s="178"/>
      <c r="L570" s="178"/>
      <c r="M570" s="178"/>
      <c r="N570" s="178"/>
      <c r="O570" s="178"/>
      <c r="P570" s="178"/>
      <c r="Q570" s="178"/>
      <c r="R570" s="178"/>
      <c r="S570" s="178"/>
      <c r="T570" s="178"/>
      <c r="X570" s="190"/>
    </row>
    <row r="571" spans="1:24" s="186" customFormat="1" ht="15">
      <c r="A571" s="39">
        <f>A572+1</f>
        <v>435</v>
      </c>
      <c r="B571" s="13" t="s">
        <v>799</v>
      </c>
      <c r="C571" s="92">
        <v>1960</v>
      </c>
      <c r="D571" s="92"/>
      <c r="E571" s="92" t="s">
        <v>94</v>
      </c>
      <c r="F571" s="95">
        <v>2</v>
      </c>
      <c r="G571" s="95">
        <v>2</v>
      </c>
      <c r="H571" s="97">
        <v>660.6</v>
      </c>
      <c r="I571" s="97">
        <v>312.4</v>
      </c>
      <c r="J571" s="97">
        <v>270.1</v>
      </c>
      <c r="K571" s="10">
        <v>12</v>
      </c>
      <c r="L571" s="97">
        <f>'виды работ  (2)'!C570</f>
        <v>2348514</v>
      </c>
      <c r="M571" s="97">
        <v>0</v>
      </c>
      <c r="N571" s="97">
        <v>0</v>
      </c>
      <c r="O571" s="97">
        <v>0</v>
      </c>
      <c r="P571" s="97">
        <f>L571</f>
        <v>2348514</v>
      </c>
      <c r="Q571" s="97">
        <f>L571/H571</f>
        <v>3555.1226158038144</v>
      </c>
      <c r="R571" s="97">
        <v>42000</v>
      </c>
      <c r="S571" s="55" t="s">
        <v>843</v>
      </c>
      <c r="T571" s="92" t="s">
        <v>773</v>
      </c>
      <c r="X571" s="190"/>
    </row>
    <row r="572" spans="1:24" s="186" customFormat="1" ht="15">
      <c r="A572" s="39">
        <f>A568+1</f>
        <v>434</v>
      </c>
      <c r="B572" s="13" t="s">
        <v>797</v>
      </c>
      <c r="C572" s="77">
        <v>1974</v>
      </c>
      <c r="D572" s="92"/>
      <c r="E572" s="92" t="s">
        <v>411</v>
      </c>
      <c r="F572" s="77">
        <v>5</v>
      </c>
      <c r="G572" s="77">
        <v>5</v>
      </c>
      <c r="H572" s="71">
        <v>4680.7</v>
      </c>
      <c r="I572" s="71">
        <v>3413.3</v>
      </c>
      <c r="J572" s="71">
        <v>3086.3</v>
      </c>
      <c r="K572" s="197">
        <v>123</v>
      </c>
      <c r="L572" s="97">
        <f>'виды работ  (2)'!C571</f>
        <v>1393103</v>
      </c>
      <c r="M572" s="97">
        <v>0</v>
      </c>
      <c r="N572" s="97">
        <v>0</v>
      </c>
      <c r="O572" s="97">
        <v>0</v>
      </c>
      <c r="P572" s="97">
        <f>L572</f>
        <v>1393103</v>
      </c>
      <c r="Q572" s="97">
        <f>L572/H572</f>
        <v>297.6270643279851</v>
      </c>
      <c r="R572" s="97">
        <v>42000</v>
      </c>
      <c r="S572" s="55" t="s">
        <v>843</v>
      </c>
      <c r="T572" s="92" t="s">
        <v>773</v>
      </c>
      <c r="X572" s="190"/>
    </row>
    <row r="573" spans="1:24" s="186" customFormat="1" ht="15">
      <c r="A573" s="39">
        <f>A571+1</f>
        <v>436</v>
      </c>
      <c r="B573" s="13" t="s">
        <v>804</v>
      </c>
      <c r="C573" s="92">
        <v>1941</v>
      </c>
      <c r="D573" s="92"/>
      <c r="E573" s="92" t="s">
        <v>94</v>
      </c>
      <c r="F573" s="92">
        <v>4</v>
      </c>
      <c r="G573" s="92">
        <v>4</v>
      </c>
      <c r="H573" s="86">
        <v>2537.1</v>
      </c>
      <c r="I573" s="86">
        <v>2384.4</v>
      </c>
      <c r="J573" s="86">
        <v>1810</v>
      </c>
      <c r="K573" s="10">
        <v>86</v>
      </c>
      <c r="L573" s="97">
        <f>'виды работ  (2)'!C572</f>
        <v>6381288</v>
      </c>
      <c r="M573" s="97">
        <v>0</v>
      </c>
      <c r="N573" s="97">
        <v>0</v>
      </c>
      <c r="O573" s="97">
        <v>0</v>
      </c>
      <c r="P573" s="97">
        <f aca="true" t="shared" si="119" ref="P573:P578">L573</f>
        <v>6381288</v>
      </c>
      <c r="Q573" s="97">
        <f aca="true" t="shared" si="120" ref="Q573:Q578">L573/H573</f>
        <v>2515.18978361121</v>
      </c>
      <c r="R573" s="97">
        <v>42000</v>
      </c>
      <c r="S573" s="55" t="s">
        <v>843</v>
      </c>
      <c r="T573" s="92" t="s">
        <v>773</v>
      </c>
      <c r="X573" s="190"/>
    </row>
    <row r="574" spans="1:24" s="186" customFormat="1" ht="15">
      <c r="A574" s="39">
        <f>A573+1</f>
        <v>437</v>
      </c>
      <c r="B574" s="13" t="s">
        <v>798</v>
      </c>
      <c r="C574" s="92">
        <v>1948</v>
      </c>
      <c r="D574" s="92"/>
      <c r="E574" s="92" t="s">
        <v>94</v>
      </c>
      <c r="F574" s="92">
        <v>4</v>
      </c>
      <c r="G574" s="92">
        <v>5</v>
      </c>
      <c r="H574" s="86">
        <v>2725.8</v>
      </c>
      <c r="I574" s="86">
        <v>2063.3</v>
      </c>
      <c r="J574" s="86">
        <v>1620.5</v>
      </c>
      <c r="K574" s="10">
        <v>109</v>
      </c>
      <c r="L574" s="97">
        <f>'виды работ  (2)'!C573</f>
        <v>4198630</v>
      </c>
      <c r="M574" s="97">
        <v>0</v>
      </c>
      <c r="N574" s="97">
        <v>0</v>
      </c>
      <c r="O574" s="97">
        <v>0</v>
      </c>
      <c r="P574" s="97">
        <f t="shared" si="119"/>
        <v>4198630</v>
      </c>
      <c r="Q574" s="97">
        <f t="shared" si="120"/>
        <v>1540.3294445667325</v>
      </c>
      <c r="R574" s="97">
        <v>42000</v>
      </c>
      <c r="S574" s="55" t="s">
        <v>843</v>
      </c>
      <c r="T574" s="92" t="s">
        <v>773</v>
      </c>
      <c r="X574" s="190"/>
    </row>
    <row r="575" spans="1:24" s="186" customFormat="1" ht="15">
      <c r="A575" s="39">
        <f>A574+1</f>
        <v>438</v>
      </c>
      <c r="B575" s="13" t="s">
        <v>800</v>
      </c>
      <c r="C575" s="77">
        <v>1972</v>
      </c>
      <c r="D575" s="92"/>
      <c r="E575" s="92" t="s">
        <v>94</v>
      </c>
      <c r="F575" s="77">
        <v>3</v>
      </c>
      <c r="G575" s="77">
        <v>2</v>
      </c>
      <c r="H575" s="71">
        <v>1535.4</v>
      </c>
      <c r="I575" s="71">
        <v>1093.3</v>
      </c>
      <c r="J575" s="71">
        <v>970.5</v>
      </c>
      <c r="K575" s="197">
        <v>41</v>
      </c>
      <c r="L575" s="97">
        <f>'виды работ  (2)'!C574</f>
        <v>2188532</v>
      </c>
      <c r="M575" s="97">
        <v>0</v>
      </c>
      <c r="N575" s="97">
        <v>0</v>
      </c>
      <c r="O575" s="97">
        <v>0</v>
      </c>
      <c r="P575" s="97">
        <f t="shared" si="119"/>
        <v>2188532</v>
      </c>
      <c r="Q575" s="97">
        <f t="shared" si="120"/>
        <v>1425.382310798489</v>
      </c>
      <c r="R575" s="97">
        <v>42000</v>
      </c>
      <c r="S575" s="55" t="s">
        <v>843</v>
      </c>
      <c r="T575" s="92" t="s">
        <v>773</v>
      </c>
      <c r="X575" s="190"/>
    </row>
    <row r="576" spans="1:24" s="186" customFormat="1" ht="15">
      <c r="A576" s="39">
        <f>A575+1</f>
        <v>439</v>
      </c>
      <c r="B576" s="13" t="s">
        <v>801</v>
      </c>
      <c r="C576" s="77">
        <v>1976</v>
      </c>
      <c r="D576" s="92"/>
      <c r="E576" s="92" t="s">
        <v>94</v>
      </c>
      <c r="F576" s="77">
        <v>4</v>
      </c>
      <c r="G576" s="77">
        <v>2</v>
      </c>
      <c r="H576" s="71">
        <v>1947</v>
      </c>
      <c r="I576" s="71">
        <v>1445.9</v>
      </c>
      <c r="J576" s="71">
        <v>1303.9</v>
      </c>
      <c r="K576" s="197">
        <v>58</v>
      </c>
      <c r="L576" s="97">
        <f>'виды работ  (2)'!C575</f>
        <v>955923</v>
      </c>
      <c r="M576" s="97">
        <v>0</v>
      </c>
      <c r="N576" s="97">
        <v>0</v>
      </c>
      <c r="O576" s="97">
        <v>0</v>
      </c>
      <c r="P576" s="97">
        <f t="shared" si="119"/>
        <v>955923</v>
      </c>
      <c r="Q576" s="97">
        <f t="shared" si="120"/>
        <v>490.97226502311247</v>
      </c>
      <c r="R576" s="97">
        <v>42000</v>
      </c>
      <c r="S576" s="55" t="s">
        <v>843</v>
      </c>
      <c r="T576" s="92" t="s">
        <v>773</v>
      </c>
      <c r="X576" s="190"/>
    </row>
    <row r="577" spans="1:24" s="186" customFormat="1" ht="15">
      <c r="A577" s="39">
        <f>A576+1</f>
        <v>440</v>
      </c>
      <c r="B577" s="13" t="s">
        <v>803</v>
      </c>
      <c r="C577" s="92">
        <v>1971</v>
      </c>
      <c r="D577" s="92"/>
      <c r="E577" s="92" t="s">
        <v>94</v>
      </c>
      <c r="F577" s="95">
        <v>2</v>
      </c>
      <c r="G577" s="95">
        <v>2</v>
      </c>
      <c r="H577" s="97">
        <v>1224.7</v>
      </c>
      <c r="I577" s="97">
        <v>743.8</v>
      </c>
      <c r="J577" s="97">
        <v>453.1</v>
      </c>
      <c r="K577" s="10">
        <v>33</v>
      </c>
      <c r="L577" s="97">
        <f>'виды работ  (2)'!C576</f>
        <v>2373203</v>
      </c>
      <c r="M577" s="97">
        <v>0</v>
      </c>
      <c r="N577" s="97">
        <v>0</v>
      </c>
      <c r="O577" s="97">
        <v>0</v>
      </c>
      <c r="P577" s="97">
        <f t="shared" si="119"/>
        <v>2373203</v>
      </c>
      <c r="Q577" s="97">
        <f t="shared" si="120"/>
        <v>1937.7831305625866</v>
      </c>
      <c r="R577" s="97">
        <v>42000</v>
      </c>
      <c r="S577" s="55" t="s">
        <v>843</v>
      </c>
      <c r="T577" s="92" t="s">
        <v>773</v>
      </c>
      <c r="X577" s="190"/>
    </row>
    <row r="578" spans="1:24" s="186" customFormat="1" ht="15">
      <c r="A578" s="39">
        <f>A577+1</f>
        <v>441</v>
      </c>
      <c r="B578" s="13" t="s">
        <v>802</v>
      </c>
      <c r="C578" s="77">
        <v>1982</v>
      </c>
      <c r="D578" s="92"/>
      <c r="E578" s="92" t="s">
        <v>94</v>
      </c>
      <c r="F578" s="77">
        <v>5</v>
      </c>
      <c r="G578" s="77">
        <v>9</v>
      </c>
      <c r="H578" s="71">
        <v>6985.6</v>
      </c>
      <c r="I578" s="71">
        <v>6253.9</v>
      </c>
      <c r="J578" s="71">
        <v>5654.8</v>
      </c>
      <c r="K578" s="197">
        <v>273</v>
      </c>
      <c r="L578" s="97">
        <f>'виды работ  (2)'!C577</f>
        <v>2214770</v>
      </c>
      <c r="M578" s="97">
        <v>0</v>
      </c>
      <c r="N578" s="97">
        <v>0</v>
      </c>
      <c r="O578" s="97">
        <v>0</v>
      </c>
      <c r="P578" s="97">
        <f t="shared" si="119"/>
        <v>2214770</v>
      </c>
      <c r="Q578" s="97">
        <f t="shared" si="120"/>
        <v>317.0479271644526</v>
      </c>
      <c r="R578" s="97">
        <v>42000</v>
      </c>
      <c r="S578" s="55" t="s">
        <v>843</v>
      </c>
      <c r="T578" s="92" t="s">
        <v>773</v>
      </c>
      <c r="X578" s="190"/>
    </row>
    <row r="579" spans="1:24" s="186" customFormat="1" ht="15">
      <c r="A579" s="117" t="s">
        <v>597</v>
      </c>
      <c r="B579" s="117"/>
      <c r="C579" s="86" t="s">
        <v>430</v>
      </c>
      <c r="D579" s="86" t="s">
        <v>430</v>
      </c>
      <c r="E579" s="86" t="s">
        <v>430</v>
      </c>
      <c r="F579" s="86" t="s">
        <v>430</v>
      </c>
      <c r="G579" s="86" t="s">
        <v>430</v>
      </c>
      <c r="H579" s="97">
        <f>SUM(H571:H578)</f>
        <v>22296.9</v>
      </c>
      <c r="I579" s="97">
        <f aca="true" t="shared" si="121" ref="I579:P579">SUM(I571:I578)</f>
        <v>17710.3</v>
      </c>
      <c r="J579" s="97">
        <f t="shared" si="121"/>
        <v>15169.2</v>
      </c>
      <c r="K579" s="96">
        <f t="shared" si="121"/>
        <v>735</v>
      </c>
      <c r="L579" s="97">
        <f t="shared" si="121"/>
        <v>22053963</v>
      </c>
      <c r="M579" s="97">
        <f t="shared" si="121"/>
        <v>0</v>
      </c>
      <c r="N579" s="97">
        <f t="shared" si="121"/>
        <v>0</v>
      </c>
      <c r="O579" s="97">
        <f t="shared" si="121"/>
        <v>0</v>
      </c>
      <c r="P579" s="97">
        <f t="shared" si="121"/>
        <v>22053963</v>
      </c>
      <c r="Q579" s="97">
        <f>L579/H579</f>
        <v>989.1044494974637</v>
      </c>
      <c r="R579" s="56" t="s">
        <v>430</v>
      </c>
      <c r="S579" s="56" t="s">
        <v>430</v>
      </c>
      <c r="T579" s="56" t="s">
        <v>430</v>
      </c>
      <c r="U579" s="190"/>
      <c r="X579" s="190"/>
    </row>
    <row r="580" spans="1:24" s="186" customFormat="1" ht="15">
      <c r="A580" s="105" t="s">
        <v>691</v>
      </c>
      <c r="B580" s="110"/>
      <c r="C580" s="110"/>
      <c r="D580" s="110"/>
      <c r="E580" s="106"/>
      <c r="F580" s="178"/>
      <c r="G580" s="178"/>
      <c r="H580" s="178"/>
      <c r="I580" s="178"/>
      <c r="J580" s="178"/>
      <c r="K580" s="178"/>
      <c r="L580" s="178"/>
      <c r="M580" s="178"/>
      <c r="N580" s="178"/>
      <c r="O580" s="178"/>
      <c r="P580" s="178"/>
      <c r="Q580" s="178"/>
      <c r="R580" s="178"/>
      <c r="S580" s="178"/>
      <c r="T580" s="178"/>
      <c r="X580" s="190"/>
    </row>
    <row r="581" spans="1:24" s="186" customFormat="1" ht="15">
      <c r="A581" s="72">
        <f>A578+1</f>
        <v>442</v>
      </c>
      <c r="B581" s="59" t="s">
        <v>433</v>
      </c>
      <c r="C581" s="92">
        <v>1978</v>
      </c>
      <c r="D581" s="92"/>
      <c r="E581" s="92" t="s">
        <v>411</v>
      </c>
      <c r="F581" s="92">
        <v>5</v>
      </c>
      <c r="G581" s="92">
        <v>4</v>
      </c>
      <c r="H581" s="86">
        <v>3959.3</v>
      </c>
      <c r="I581" s="86">
        <v>3102.5</v>
      </c>
      <c r="J581" s="86">
        <v>1975.3</v>
      </c>
      <c r="K581" s="10">
        <v>84</v>
      </c>
      <c r="L581" s="97">
        <f>'виды работ  (2)'!C580</f>
        <v>1995072</v>
      </c>
      <c r="M581" s="97">
        <v>0</v>
      </c>
      <c r="N581" s="97">
        <v>0</v>
      </c>
      <c r="O581" s="97">
        <v>0</v>
      </c>
      <c r="P581" s="97">
        <f>L581</f>
        <v>1995072</v>
      </c>
      <c r="Q581" s="97">
        <f>L581/H581</f>
        <v>503.89513297805166</v>
      </c>
      <c r="R581" s="97">
        <v>42000</v>
      </c>
      <c r="S581" s="55" t="s">
        <v>843</v>
      </c>
      <c r="T581" s="92" t="s">
        <v>773</v>
      </c>
      <c r="X581" s="190"/>
    </row>
    <row r="582" spans="1:24" s="186" customFormat="1" ht="15">
      <c r="A582" s="72">
        <f>A581+1</f>
        <v>443</v>
      </c>
      <c r="B582" s="59" t="s">
        <v>432</v>
      </c>
      <c r="C582" s="92">
        <v>1980</v>
      </c>
      <c r="D582" s="92"/>
      <c r="E582" s="92" t="s">
        <v>411</v>
      </c>
      <c r="F582" s="92">
        <v>5</v>
      </c>
      <c r="G582" s="92">
        <v>4</v>
      </c>
      <c r="H582" s="86">
        <v>4386.6</v>
      </c>
      <c r="I582" s="86">
        <v>3227.9</v>
      </c>
      <c r="J582" s="86">
        <v>2689.5</v>
      </c>
      <c r="K582" s="10">
        <v>112</v>
      </c>
      <c r="L582" s="97">
        <f>'виды работ  (2)'!C581</f>
        <v>180035</v>
      </c>
      <c r="M582" s="97">
        <v>0</v>
      </c>
      <c r="N582" s="97">
        <v>0</v>
      </c>
      <c r="O582" s="97">
        <v>0</v>
      </c>
      <c r="P582" s="97">
        <f>L582</f>
        <v>180035</v>
      </c>
      <c r="Q582" s="97">
        <f>L582/H582</f>
        <v>41.04203711302603</v>
      </c>
      <c r="R582" s="97">
        <v>42000</v>
      </c>
      <c r="S582" s="55" t="s">
        <v>843</v>
      </c>
      <c r="T582" s="92" t="s">
        <v>773</v>
      </c>
      <c r="X582" s="190"/>
    </row>
    <row r="583" spans="1:24" s="186" customFormat="1" ht="15">
      <c r="A583" s="117" t="s">
        <v>597</v>
      </c>
      <c r="B583" s="117"/>
      <c r="C583" s="86" t="s">
        <v>430</v>
      </c>
      <c r="D583" s="86" t="s">
        <v>430</v>
      </c>
      <c r="E583" s="86" t="s">
        <v>430</v>
      </c>
      <c r="F583" s="86" t="s">
        <v>430</v>
      </c>
      <c r="G583" s="86" t="s">
        <v>430</v>
      </c>
      <c r="H583" s="86">
        <f>SUM(H581:H582)</f>
        <v>8345.900000000001</v>
      </c>
      <c r="I583" s="86">
        <f aca="true" t="shared" si="122" ref="I583:P583">SUM(I581:I582)</f>
        <v>6330.4</v>
      </c>
      <c r="J583" s="86">
        <f t="shared" si="122"/>
        <v>4664.8</v>
      </c>
      <c r="K583" s="10">
        <f t="shared" si="122"/>
        <v>196</v>
      </c>
      <c r="L583" s="86">
        <f t="shared" si="122"/>
        <v>2175107</v>
      </c>
      <c r="M583" s="86">
        <f t="shared" si="122"/>
        <v>0</v>
      </c>
      <c r="N583" s="86">
        <f t="shared" si="122"/>
        <v>0</v>
      </c>
      <c r="O583" s="86">
        <f t="shared" si="122"/>
        <v>0</v>
      </c>
      <c r="P583" s="86">
        <f t="shared" si="122"/>
        <v>2175107</v>
      </c>
      <c r="Q583" s="97">
        <f>L583/H583</f>
        <v>260.6198253034424</v>
      </c>
      <c r="R583" s="56" t="s">
        <v>430</v>
      </c>
      <c r="S583" s="56" t="s">
        <v>430</v>
      </c>
      <c r="T583" s="56" t="s">
        <v>430</v>
      </c>
      <c r="U583" s="190"/>
      <c r="X583" s="190"/>
    </row>
    <row r="584" spans="1:24" s="186" customFormat="1" ht="15">
      <c r="A584" s="124" t="s">
        <v>692</v>
      </c>
      <c r="B584" s="125"/>
      <c r="C584" s="125"/>
      <c r="D584" s="125"/>
      <c r="E584" s="126"/>
      <c r="F584" s="178"/>
      <c r="G584" s="178"/>
      <c r="H584" s="178"/>
      <c r="I584" s="178"/>
      <c r="J584" s="178"/>
      <c r="K584" s="178"/>
      <c r="L584" s="178"/>
      <c r="M584" s="178"/>
      <c r="N584" s="178"/>
      <c r="O584" s="178"/>
      <c r="P584" s="178"/>
      <c r="Q584" s="178"/>
      <c r="R584" s="178"/>
      <c r="S584" s="178"/>
      <c r="T584" s="178"/>
      <c r="X584" s="190"/>
    </row>
    <row r="585" spans="1:24" s="186" customFormat="1" ht="15">
      <c r="A585" s="72">
        <f>A582+1</f>
        <v>444</v>
      </c>
      <c r="B585" s="188" t="s">
        <v>434</v>
      </c>
      <c r="C585" s="92">
        <v>1968</v>
      </c>
      <c r="D585" s="95"/>
      <c r="E585" s="92" t="s">
        <v>94</v>
      </c>
      <c r="F585" s="95">
        <v>2</v>
      </c>
      <c r="G585" s="95">
        <v>2</v>
      </c>
      <c r="H585" s="97">
        <v>696</v>
      </c>
      <c r="I585" s="97">
        <v>595.7</v>
      </c>
      <c r="J585" s="97">
        <v>339.8</v>
      </c>
      <c r="K585" s="96">
        <v>37</v>
      </c>
      <c r="L585" s="97">
        <f>'виды работ  (2)'!C584</f>
        <v>2438068</v>
      </c>
      <c r="M585" s="97">
        <v>0</v>
      </c>
      <c r="N585" s="97">
        <v>0</v>
      </c>
      <c r="O585" s="97">
        <v>0</v>
      </c>
      <c r="P585" s="97">
        <f>L585</f>
        <v>2438068</v>
      </c>
      <c r="Q585" s="97">
        <f>L585/H585</f>
        <v>3502.9712643678163</v>
      </c>
      <c r="R585" s="97">
        <v>42000</v>
      </c>
      <c r="S585" s="55" t="s">
        <v>843</v>
      </c>
      <c r="T585" s="92" t="s">
        <v>773</v>
      </c>
      <c r="X585" s="190"/>
    </row>
    <row r="586" spans="1:24" s="186" customFormat="1" ht="15">
      <c r="A586" s="117" t="s">
        <v>597</v>
      </c>
      <c r="B586" s="117"/>
      <c r="C586" s="86" t="s">
        <v>430</v>
      </c>
      <c r="D586" s="86" t="s">
        <v>430</v>
      </c>
      <c r="E586" s="86" t="s">
        <v>430</v>
      </c>
      <c r="F586" s="86" t="s">
        <v>430</v>
      </c>
      <c r="G586" s="86" t="s">
        <v>430</v>
      </c>
      <c r="H586" s="97">
        <f>SUM(H585)</f>
        <v>696</v>
      </c>
      <c r="I586" s="97">
        <f aca="true" t="shared" si="123" ref="I586:P586">SUM(I585)</f>
        <v>595.7</v>
      </c>
      <c r="J586" s="97">
        <f t="shared" si="123"/>
        <v>339.8</v>
      </c>
      <c r="K586" s="96">
        <f t="shared" si="123"/>
        <v>37</v>
      </c>
      <c r="L586" s="97">
        <f t="shared" si="123"/>
        <v>2438068</v>
      </c>
      <c r="M586" s="97">
        <f t="shared" si="123"/>
        <v>0</v>
      </c>
      <c r="N586" s="97">
        <f t="shared" si="123"/>
        <v>0</v>
      </c>
      <c r="O586" s="97">
        <f t="shared" si="123"/>
        <v>0</v>
      </c>
      <c r="P586" s="97">
        <f t="shared" si="123"/>
        <v>2438068</v>
      </c>
      <c r="Q586" s="97">
        <f>L586/H586</f>
        <v>3502.9712643678163</v>
      </c>
      <c r="R586" s="56" t="s">
        <v>430</v>
      </c>
      <c r="S586" s="56" t="s">
        <v>430</v>
      </c>
      <c r="T586" s="56" t="s">
        <v>430</v>
      </c>
      <c r="U586" s="190"/>
      <c r="X586" s="190"/>
    </row>
    <row r="587" spans="1:24" s="186" customFormat="1" ht="15">
      <c r="A587" s="105" t="s">
        <v>649</v>
      </c>
      <c r="B587" s="110"/>
      <c r="C587" s="110"/>
      <c r="D587" s="110"/>
      <c r="E587" s="106"/>
      <c r="F587" s="178"/>
      <c r="G587" s="178"/>
      <c r="H587" s="178"/>
      <c r="I587" s="178"/>
      <c r="J587" s="178"/>
      <c r="K587" s="178"/>
      <c r="L587" s="178"/>
      <c r="M587" s="178"/>
      <c r="N587" s="178"/>
      <c r="O587" s="178"/>
      <c r="P587" s="178"/>
      <c r="Q587" s="178"/>
      <c r="R587" s="178"/>
      <c r="S587" s="178"/>
      <c r="T587" s="178"/>
      <c r="X587" s="190"/>
    </row>
    <row r="588" spans="1:24" s="186" customFormat="1" ht="15">
      <c r="A588" s="72">
        <f>A585+1</f>
        <v>445</v>
      </c>
      <c r="B588" s="88" t="s">
        <v>440</v>
      </c>
      <c r="C588" s="92">
        <v>1962</v>
      </c>
      <c r="D588" s="95"/>
      <c r="E588" s="95" t="s">
        <v>94</v>
      </c>
      <c r="F588" s="95">
        <v>2</v>
      </c>
      <c r="G588" s="95">
        <v>2</v>
      </c>
      <c r="H588" s="97">
        <v>658.7</v>
      </c>
      <c r="I588" s="97">
        <v>628.7</v>
      </c>
      <c r="J588" s="97">
        <v>501.6</v>
      </c>
      <c r="K588" s="96">
        <v>29</v>
      </c>
      <c r="L588" s="97">
        <f>'виды работ  (2)'!C587</f>
        <v>83765</v>
      </c>
      <c r="M588" s="97">
        <v>0</v>
      </c>
      <c r="N588" s="97">
        <v>0</v>
      </c>
      <c r="O588" s="97">
        <v>0</v>
      </c>
      <c r="P588" s="97">
        <f aca="true" t="shared" si="124" ref="P588:P594">L588</f>
        <v>83765</v>
      </c>
      <c r="Q588" s="97">
        <f aca="true" t="shared" si="125" ref="Q588:Q595">L588/H588</f>
        <v>127.16714741156824</v>
      </c>
      <c r="R588" s="97">
        <v>42000</v>
      </c>
      <c r="S588" s="55" t="s">
        <v>843</v>
      </c>
      <c r="T588" s="92" t="s">
        <v>773</v>
      </c>
      <c r="X588" s="190"/>
    </row>
    <row r="589" spans="1:24" s="186" customFormat="1" ht="15">
      <c r="A589" s="72">
        <f aca="true" t="shared" si="126" ref="A589:A594">A588+1</f>
        <v>446</v>
      </c>
      <c r="B589" s="88" t="s">
        <v>439</v>
      </c>
      <c r="C589" s="92">
        <v>1969</v>
      </c>
      <c r="D589" s="95"/>
      <c r="E589" s="95" t="s">
        <v>94</v>
      </c>
      <c r="F589" s="95">
        <v>2</v>
      </c>
      <c r="G589" s="95">
        <v>2</v>
      </c>
      <c r="H589" s="97">
        <v>577.3</v>
      </c>
      <c r="I589" s="97">
        <v>527.1</v>
      </c>
      <c r="J589" s="97">
        <v>207.7</v>
      </c>
      <c r="K589" s="96">
        <v>35</v>
      </c>
      <c r="L589" s="97">
        <f>'виды работ  (2)'!C588</f>
        <v>1207649</v>
      </c>
      <c r="M589" s="97">
        <v>0</v>
      </c>
      <c r="N589" s="97">
        <v>0</v>
      </c>
      <c r="O589" s="97">
        <v>0</v>
      </c>
      <c r="P589" s="97">
        <f t="shared" si="124"/>
        <v>1207649</v>
      </c>
      <c r="Q589" s="97">
        <f t="shared" si="125"/>
        <v>2091.8915641780704</v>
      </c>
      <c r="R589" s="97">
        <v>42000</v>
      </c>
      <c r="S589" s="55" t="s">
        <v>843</v>
      </c>
      <c r="T589" s="92" t="s">
        <v>773</v>
      </c>
      <c r="X589" s="190"/>
    </row>
    <row r="590" spans="1:24" s="186" customFormat="1" ht="15">
      <c r="A590" s="72">
        <f t="shared" si="126"/>
        <v>447</v>
      </c>
      <c r="B590" s="88" t="s">
        <v>438</v>
      </c>
      <c r="C590" s="92">
        <v>1981</v>
      </c>
      <c r="D590" s="95"/>
      <c r="E590" s="95" t="s">
        <v>442</v>
      </c>
      <c r="F590" s="95">
        <v>3</v>
      </c>
      <c r="G590" s="95">
        <v>3</v>
      </c>
      <c r="H590" s="97">
        <v>1608.5</v>
      </c>
      <c r="I590" s="97">
        <v>1435</v>
      </c>
      <c r="J590" s="97">
        <v>1275.2</v>
      </c>
      <c r="K590" s="96">
        <v>60</v>
      </c>
      <c r="L590" s="97">
        <f>'виды работ  (2)'!C589</f>
        <v>1460835</v>
      </c>
      <c r="M590" s="97">
        <v>0</v>
      </c>
      <c r="N590" s="97">
        <v>0</v>
      </c>
      <c r="O590" s="97">
        <v>0</v>
      </c>
      <c r="P590" s="97">
        <f t="shared" si="124"/>
        <v>1460835</v>
      </c>
      <c r="Q590" s="97">
        <f t="shared" si="125"/>
        <v>908.1970780230027</v>
      </c>
      <c r="R590" s="97">
        <v>42000</v>
      </c>
      <c r="S590" s="55" t="s">
        <v>843</v>
      </c>
      <c r="T590" s="92" t="s">
        <v>773</v>
      </c>
      <c r="X590" s="190"/>
    </row>
    <row r="591" spans="1:24" s="186" customFormat="1" ht="15">
      <c r="A591" s="72">
        <f t="shared" si="126"/>
        <v>448</v>
      </c>
      <c r="B591" s="88" t="s">
        <v>437</v>
      </c>
      <c r="C591" s="92">
        <v>1989</v>
      </c>
      <c r="D591" s="95"/>
      <c r="E591" s="95" t="s">
        <v>442</v>
      </c>
      <c r="F591" s="95">
        <v>5</v>
      </c>
      <c r="G591" s="95">
        <v>3</v>
      </c>
      <c r="H591" s="97">
        <v>5036.8</v>
      </c>
      <c r="I591" s="97">
        <v>3705.8</v>
      </c>
      <c r="J591" s="97">
        <v>2780.7</v>
      </c>
      <c r="K591" s="96">
        <v>207</v>
      </c>
      <c r="L591" s="97">
        <f>'виды работ  (2)'!C590</f>
        <v>353689</v>
      </c>
      <c r="M591" s="97">
        <v>0</v>
      </c>
      <c r="N591" s="97">
        <v>0</v>
      </c>
      <c r="O591" s="97">
        <v>0</v>
      </c>
      <c r="P591" s="97">
        <f t="shared" si="124"/>
        <v>353689</v>
      </c>
      <c r="Q591" s="97">
        <f t="shared" si="125"/>
        <v>70.22097363405337</v>
      </c>
      <c r="R591" s="97">
        <v>42000</v>
      </c>
      <c r="S591" s="55" t="s">
        <v>843</v>
      </c>
      <c r="T591" s="92" t="s">
        <v>773</v>
      </c>
      <c r="X591" s="190"/>
    </row>
    <row r="592" spans="1:24" s="186" customFormat="1" ht="15">
      <c r="A592" s="72">
        <f t="shared" si="126"/>
        <v>449</v>
      </c>
      <c r="B592" s="88" t="s">
        <v>441</v>
      </c>
      <c r="C592" s="92">
        <v>1961</v>
      </c>
      <c r="D592" s="95"/>
      <c r="E592" s="95" t="s">
        <v>94</v>
      </c>
      <c r="F592" s="95">
        <v>2</v>
      </c>
      <c r="G592" s="95">
        <v>1</v>
      </c>
      <c r="H592" s="97">
        <v>290.2</v>
      </c>
      <c r="I592" s="97">
        <v>267.6</v>
      </c>
      <c r="J592" s="97">
        <v>225.3</v>
      </c>
      <c r="K592" s="96">
        <v>17</v>
      </c>
      <c r="L592" s="97">
        <f>'виды работ  (2)'!C591</f>
        <v>65099</v>
      </c>
      <c r="M592" s="97">
        <v>0</v>
      </c>
      <c r="N592" s="97">
        <v>0</v>
      </c>
      <c r="O592" s="97">
        <v>0</v>
      </c>
      <c r="P592" s="97">
        <f t="shared" si="124"/>
        <v>65099</v>
      </c>
      <c r="Q592" s="97">
        <f t="shared" si="125"/>
        <v>224.32460372157135</v>
      </c>
      <c r="R592" s="97">
        <v>42000</v>
      </c>
      <c r="S592" s="55" t="s">
        <v>843</v>
      </c>
      <c r="T592" s="92" t="s">
        <v>773</v>
      </c>
      <c r="X592" s="190"/>
    </row>
    <row r="593" spans="1:24" s="186" customFormat="1" ht="15">
      <c r="A593" s="72">
        <f t="shared" si="126"/>
        <v>450</v>
      </c>
      <c r="B593" s="88" t="s">
        <v>435</v>
      </c>
      <c r="C593" s="92">
        <v>1978</v>
      </c>
      <c r="D593" s="95"/>
      <c r="E593" s="95" t="s">
        <v>94</v>
      </c>
      <c r="F593" s="95">
        <v>4</v>
      </c>
      <c r="G593" s="95">
        <v>1</v>
      </c>
      <c r="H593" s="97">
        <v>963.6</v>
      </c>
      <c r="I593" s="97">
        <v>748.1</v>
      </c>
      <c r="J593" s="97">
        <v>655.2</v>
      </c>
      <c r="K593" s="96">
        <v>37</v>
      </c>
      <c r="L593" s="97">
        <f>'виды работ  (2)'!C592</f>
        <v>178041</v>
      </c>
      <c r="M593" s="97">
        <v>0</v>
      </c>
      <c r="N593" s="97">
        <v>0</v>
      </c>
      <c r="O593" s="97">
        <v>0</v>
      </c>
      <c r="P593" s="97">
        <f t="shared" si="124"/>
        <v>178041</v>
      </c>
      <c r="Q593" s="97">
        <f t="shared" si="125"/>
        <v>184.766500622665</v>
      </c>
      <c r="R593" s="97">
        <v>42000</v>
      </c>
      <c r="S593" s="55" t="s">
        <v>843</v>
      </c>
      <c r="T593" s="92" t="s">
        <v>773</v>
      </c>
      <c r="X593" s="190"/>
    </row>
    <row r="594" spans="1:24" s="186" customFormat="1" ht="15">
      <c r="A594" s="72">
        <f t="shared" si="126"/>
        <v>451</v>
      </c>
      <c r="B594" s="88" t="s">
        <v>436</v>
      </c>
      <c r="C594" s="92">
        <v>1978</v>
      </c>
      <c r="D594" s="95"/>
      <c r="E594" s="95" t="s">
        <v>94</v>
      </c>
      <c r="F594" s="95">
        <v>4</v>
      </c>
      <c r="G594" s="95">
        <v>1</v>
      </c>
      <c r="H594" s="97">
        <v>968.7</v>
      </c>
      <c r="I594" s="97">
        <v>747.7</v>
      </c>
      <c r="J594" s="97">
        <v>655.9</v>
      </c>
      <c r="K594" s="96">
        <v>45</v>
      </c>
      <c r="L594" s="97">
        <f>'виды работ  (2)'!C593</f>
        <v>177153</v>
      </c>
      <c r="M594" s="97">
        <v>0</v>
      </c>
      <c r="N594" s="97">
        <v>0</v>
      </c>
      <c r="O594" s="97">
        <v>0</v>
      </c>
      <c r="P594" s="97">
        <f t="shared" si="124"/>
        <v>177153</v>
      </c>
      <c r="Q594" s="97">
        <f t="shared" si="125"/>
        <v>182.87705171879838</v>
      </c>
      <c r="R594" s="97">
        <v>42000</v>
      </c>
      <c r="S594" s="55" t="s">
        <v>843</v>
      </c>
      <c r="T594" s="92" t="s">
        <v>773</v>
      </c>
      <c r="X594" s="190"/>
    </row>
    <row r="595" spans="1:24" s="186" customFormat="1" ht="15">
      <c r="A595" s="117" t="s">
        <v>597</v>
      </c>
      <c r="B595" s="117"/>
      <c r="C595" s="86" t="s">
        <v>430</v>
      </c>
      <c r="D595" s="86" t="s">
        <v>430</v>
      </c>
      <c r="E595" s="86" t="s">
        <v>430</v>
      </c>
      <c r="F595" s="86" t="s">
        <v>430</v>
      </c>
      <c r="G595" s="86" t="s">
        <v>430</v>
      </c>
      <c r="H595" s="97">
        <f>SUM(H588:H594)</f>
        <v>10103.800000000001</v>
      </c>
      <c r="I595" s="97">
        <f aca="true" t="shared" si="127" ref="I595:P595">SUM(I588:I594)</f>
        <v>8060.000000000001</v>
      </c>
      <c r="J595" s="97">
        <f t="shared" si="127"/>
        <v>6301.599999999999</v>
      </c>
      <c r="K595" s="96">
        <f t="shared" si="127"/>
        <v>430</v>
      </c>
      <c r="L595" s="97">
        <f t="shared" si="127"/>
        <v>3526231</v>
      </c>
      <c r="M595" s="97">
        <f t="shared" si="127"/>
        <v>0</v>
      </c>
      <c r="N595" s="97">
        <f t="shared" si="127"/>
        <v>0</v>
      </c>
      <c r="O595" s="97">
        <f t="shared" si="127"/>
        <v>0</v>
      </c>
      <c r="P595" s="97">
        <f t="shared" si="127"/>
        <v>3526231</v>
      </c>
      <c r="Q595" s="97">
        <f t="shared" si="125"/>
        <v>349.000475068786</v>
      </c>
      <c r="R595" s="56" t="s">
        <v>430</v>
      </c>
      <c r="S595" s="56" t="s">
        <v>430</v>
      </c>
      <c r="T595" s="56" t="s">
        <v>430</v>
      </c>
      <c r="U595" s="190"/>
      <c r="X595" s="190"/>
    </row>
    <row r="596" spans="1:24" s="186" customFormat="1" ht="15">
      <c r="A596" s="124" t="s">
        <v>693</v>
      </c>
      <c r="B596" s="125"/>
      <c r="C596" s="125"/>
      <c r="D596" s="125"/>
      <c r="E596" s="126"/>
      <c r="F596" s="178"/>
      <c r="G596" s="178"/>
      <c r="H596" s="178"/>
      <c r="I596" s="178"/>
      <c r="J596" s="178"/>
      <c r="K596" s="178"/>
      <c r="L596" s="178"/>
      <c r="M596" s="178"/>
      <c r="N596" s="178"/>
      <c r="O596" s="178"/>
      <c r="P596" s="178"/>
      <c r="Q596" s="178"/>
      <c r="R596" s="178"/>
      <c r="S596" s="178"/>
      <c r="T596" s="178"/>
      <c r="X596" s="190"/>
    </row>
    <row r="597" spans="1:24" s="186" customFormat="1" ht="20.25" customHeight="1">
      <c r="A597" s="72">
        <f>A594+1</f>
        <v>452</v>
      </c>
      <c r="B597" s="13" t="s">
        <v>444</v>
      </c>
      <c r="C597" s="92">
        <v>1961</v>
      </c>
      <c r="D597" s="92"/>
      <c r="E597" s="95" t="s">
        <v>94</v>
      </c>
      <c r="F597" s="92">
        <v>2</v>
      </c>
      <c r="G597" s="92">
        <v>1</v>
      </c>
      <c r="H597" s="86">
        <v>305.4</v>
      </c>
      <c r="I597" s="86">
        <v>283.4</v>
      </c>
      <c r="J597" s="86">
        <v>283.4</v>
      </c>
      <c r="K597" s="10">
        <v>12</v>
      </c>
      <c r="L597" s="97">
        <f>'виды работ  (2)'!C596</f>
        <v>686351</v>
      </c>
      <c r="M597" s="97">
        <v>0</v>
      </c>
      <c r="N597" s="97">
        <v>0</v>
      </c>
      <c r="O597" s="97">
        <v>0</v>
      </c>
      <c r="P597" s="97">
        <f aca="true" t="shared" si="128" ref="P597:P602">L597</f>
        <v>686351</v>
      </c>
      <c r="Q597" s="97">
        <f aca="true" t="shared" si="129" ref="Q597:Q603">L597/H597</f>
        <v>2247.383759004584</v>
      </c>
      <c r="R597" s="97">
        <v>42000</v>
      </c>
      <c r="S597" s="55" t="s">
        <v>843</v>
      </c>
      <c r="T597" s="92" t="s">
        <v>773</v>
      </c>
      <c r="X597" s="190"/>
    </row>
    <row r="598" spans="1:24" s="186" customFormat="1" ht="20.25" customHeight="1">
      <c r="A598" s="72">
        <f>A597+1</f>
        <v>453</v>
      </c>
      <c r="B598" s="13" t="s">
        <v>445</v>
      </c>
      <c r="C598" s="92">
        <v>1960</v>
      </c>
      <c r="D598" s="92"/>
      <c r="E598" s="95" t="s">
        <v>94</v>
      </c>
      <c r="F598" s="92">
        <v>2</v>
      </c>
      <c r="G598" s="92">
        <v>2</v>
      </c>
      <c r="H598" s="86">
        <v>839.5</v>
      </c>
      <c r="I598" s="86">
        <v>787.6</v>
      </c>
      <c r="J598" s="86">
        <v>505.2</v>
      </c>
      <c r="K598" s="10">
        <v>22</v>
      </c>
      <c r="L598" s="97">
        <f>'виды работ  (2)'!C597</f>
        <v>1611506</v>
      </c>
      <c r="M598" s="97">
        <v>0</v>
      </c>
      <c r="N598" s="97">
        <v>0</v>
      </c>
      <c r="O598" s="97">
        <v>0</v>
      </c>
      <c r="P598" s="97">
        <f t="shared" si="128"/>
        <v>1611506</v>
      </c>
      <c r="Q598" s="97">
        <f t="shared" si="129"/>
        <v>1919.6021441334128</v>
      </c>
      <c r="R598" s="97">
        <v>42000</v>
      </c>
      <c r="S598" s="55" t="s">
        <v>843</v>
      </c>
      <c r="T598" s="92" t="s">
        <v>773</v>
      </c>
      <c r="X598" s="190"/>
    </row>
    <row r="599" spans="1:24" s="186" customFormat="1" ht="20.25" customHeight="1">
      <c r="A599" s="72">
        <f>A598+1</f>
        <v>454</v>
      </c>
      <c r="B599" s="13" t="s">
        <v>446</v>
      </c>
      <c r="C599" s="92">
        <v>1969</v>
      </c>
      <c r="D599" s="92"/>
      <c r="E599" s="95" t="s">
        <v>94</v>
      </c>
      <c r="F599" s="92">
        <v>2</v>
      </c>
      <c r="G599" s="92">
        <v>2</v>
      </c>
      <c r="H599" s="86">
        <v>993.06</v>
      </c>
      <c r="I599" s="86">
        <v>767.85</v>
      </c>
      <c r="J599" s="86">
        <v>707.7</v>
      </c>
      <c r="K599" s="10">
        <v>29</v>
      </c>
      <c r="L599" s="97">
        <f>'виды работ  (2)'!C598</f>
        <v>1437548</v>
      </c>
      <c r="M599" s="97">
        <v>0</v>
      </c>
      <c r="N599" s="97">
        <v>0</v>
      </c>
      <c r="O599" s="97">
        <v>0</v>
      </c>
      <c r="P599" s="97">
        <f t="shared" si="128"/>
        <v>1437548</v>
      </c>
      <c r="Q599" s="97">
        <f t="shared" si="129"/>
        <v>1447.594304473043</v>
      </c>
      <c r="R599" s="97">
        <v>42000</v>
      </c>
      <c r="S599" s="55" t="s">
        <v>843</v>
      </c>
      <c r="T599" s="92" t="s">
        <v>773</v>
      </c>
      <c r="X599" s="190"/>
    </row>
    <row r="600" spans="1:24" s="186" customFormat="1" ht="15">
      <c r="A600" s="72">
        <f>A599+1</f>
        <v>455</v>
      </c>
      <c r="B600" s="13" t="s">
        <v>443</v>
      </c>
      <c r="C600" s="92">
        <v>1960</v>
      </c>
      <c r="D600" s="92"/>
      <c r="E600" s="95" t="s">
        <v>94</v>
      </c>
      <c r="F600" s="92">
        <v>2</v>
      </c>
      <c r="G600" s="92">
        <v>2</v>
      </c>
      <c r="H600" s="86">
        <v>498.4</v>
      </c>
      <c r="I600" s="86">
        <v>324.9</v>
      </c>
      <c r="J600" s="86">
        <v>197.6</v>
      </c>
      <c r="K600" s="10">
        <v>22</v>
      </c>
      <c r="L600" s="97">
        <f>'виды работ  (2)'!C599</f>
        <v>1053056</v>
      </c>
      <c r="M600" s="97">
        <v>0</v>
      </c>
      <c r="N600" s="97">
        <v>0</v>
      </c>
      <c r="O600" s="97">
        <v>0</v>
      </c>
      <c r="P600" s="97">
        <f t="shared" si="128"/>
        <v>1053056</v>
      </c>
      <c r="Q600" s="97">
        <f t="shared" si="129"/>
        <v>2112.873194221509</v>
      </c>
      <c r="R600" s="97">
        <v>42000</v>
      </c>
      <c r="S600" s="55" t="s">
        <v>843</v>
      </c>
      <c r="T600" s="92" t="s">
        <v>773</v>
      </c>
      <c r="X600" s="190"/>
    </row>
    <row r="601" spans="1:24" s="186" customFormat="1" ht="15">
      <c r="A601" s="72">
        <f>A600+1</f>
        <v>456</v>
      </c>
      <c r="B601" s="13" t="s">
        <v>822</v>
      </c>
      <c r="C601" s="92">
        <v>1960</v>
      </c>
      <c r="D601" s="92"/>
      <c r="E601" s="95" t="s">
        <v>94</v>
      </c>
      <c r="F601" s="92">
        <v>2</v>
      </c>
      <c r="G601" s="92">
        <v>2</v>
      </c>
      <c r="H601" s="86">
        <v>514.5</v>
      </c>
      <c r="I601" s="86">
        <v>371.6</v>
      </c>
      <c r="J601" s="86">
        <v>225.2</v>
      </c>
      <c r="K601" s="10">
        <v>34</v>
      </c>
      <c r="L601" s="97">
        <f>'виды работ  (2)'!C600</f>
        <v>1053511</v>
      </c>
      <c r="M601" s="97">
        <v>0</v>
      </c>
      <c r="N601" s="97">
        <v>0</v>
      </c>
      <c r="O601" s="97">
        <v>0</v>
      </c>
      <c r="P601" s="97">
        <f t="shared" si="128"/>
        <v>1053511</v>
      </c>
      <c r="Q601" s="97">
        <f t="shared" si="129"/>
        <v>2047.6404275996113</v>
      </c>
      <c r="R601" s="97">
        <v>42000</v>
      </c>
      <c r="S601" s="55" t="s">
        <v>843</v>
      </c>
      <c r="T601" s="92" t="s">
        <v>773</v>
      </c>
      <c r="X601" s="190"/>
    </row>
    <row r="602" spans="1:24" s="186" customFormat="1" ht="15">
      <c r="A602" s="72">
        <f>A601+1</f>
        <v>457</v>
      </c>
      <c r="B602" s="13" t="s">
        <v>823</v>
      </c>
      <c r="C602" s="92">
        <v>1964</v>
      </c>
      <c r="D602" s="92"/>
      <c r="E602" s="95" t="s">
        <v>94</v>
      </c>
      <c r="F602" s="92">
        <v>2</v>
      </c>
      <c r="G602" s="92">
        <v>2</v>
      </c>
      <c r="H602" s="86">
        <v>661.9</v>
      </c>
      <c r="I602" s="86">
        <v>366.6</v>
      </c>
      <c r="J602" s="86">
        <v>236.3</v>
      </c>
      <c r="K602" s="10">
        <v>39</v>
      </c>
      <c r="L602" s="97">
        <f>'виды работ  (2)'!C601</f>
        <v>964946</v>
      </c>
      <c r="M602" s="97">
        <v>0</v>
      </c>
      <c r="N602" s="97">
        <v>0</v>
      </c>
      <c r="O602" s="97">
        <v>0</v>
      </c>
      <c r="P602" s="97">
        <f t="shared" si="128"/>
        <v>964946</v>
      </c>
      <c r="Q602" s="97">
        <f t="shared" si="129"/>
        <v>1457.8425744070103</v>
      </c>
      <c r="R602" s="97">
        <v>42000</v>
      </c>
      <c r="S602" s="55" t="s">
        <v>843</v>
      </c>
      <c r="T602" s="92" t="s">
        <v>773</v>
      </c>
      <c r="X602" s="190"/>
    </row>
    <row r="603" spans="1:24" s="186" customFormat="1" ht="15">
      <c r="A603" s="117" t="s">
        <v>597</v>
      </c>
      <c r="B603" s="117"/>
      <c r="C603" s="86" t="s">
        <v>430</v>
      </c>
      <c r="D603" s="86" t="s">
        <v>430</v>
      </c>
      <c r="E603" s="86" t="s">
        <v>430</v>
      </c>
      <c r="F603" s="86" t="s">
        <v>430</v>
      </c>
      <c r="G603" s="86" t="s">
        <v>430</v>
      </c>
      <c r="H603" s="86">
        <f>SUM(H597:H602)</f>
        <v>3812.76</v>
      </c>
      <c r="I603" s="86">
        <f aca="true" t="shared" si="130" ref="I603:P603">SUM(I597:I602)</f>
        <v>2901.95</v>
      </c>
      <c r="J603" s="86">
        <f t="shared" si="130"/>
        <v>2155.4</v>
      </c>
      <c r="K603" s="10">
        <f t="shared" si="130"/>
        <v>158</v>
      </c>
      <c r="L603" s="86">
        <f t="shared" si="130"/>
        <v>6806918</v>
      </c>
      <c r="M603" s="86">
        <f t="shared" si="130"/>
        <v>0</v>
      </c>
      <c r="N603" s="86">
        <f t="shared" si="130"/>
        <v>0</v>
      </c>
      <c r="O603" s="86">
        <f t="shared" si="130"/>
        <v>0</v>
      </c>
      <c r="P603" s="86">
        <f t="shared" si="130"/>
        <v>6806918</v>
      </c>
      <c r="Q603" s="97">
        <f t="shared" si="129"/>
        <v>1785.2993631909692</v>
      </c>
      <c r="R603" s="56" t="s">
        <v>430</v>
      </c>
      <c r="S603" s="56" t="s">
        <v>430</v>
      </c>
      <c r="T603" s="56" t="s">
        <v>430</v>
      </c>
      <c r="U603" s="190"/>
      <c r="X603" s="190"/>
    </row>
    <row r="604" spans="1:24" s="186" customFormat="1" ht="15" customHeight="1">
      <c r="A604" s="105" t="s">
        <v>694</v>
      </c>
      <c r="B604" s="110"/>
      <c r="C604" s="110"/>
      <c r="D604" s="110"/>
      <c r="E604" s="106"/>
      <c r="F604" s="178"/>
      <c r="G604" s="178"/>
      <c r="H604" s="178"/>
      <c r="I604" s="178"/>
      <c r="J604" s="178"/>
      <c r="K604" s="178"/>
      <c r="L604" s="178"/>
      <c r="M604" s="178"/>
      <c r="N604" s="178"/>
      <c r="O604" s="178"/>
      <c r="P604" s="178"/>
      <c r="Q604" s="178"/>
      <c r="R604" s="178"/>
      <c r="S604" s="178"/>
      <c r="T604" s="178"/>
      <c r="X604" s="190"/>
    </row>
    <row r="605" spans="1:24" s="186" customFormat="1" ht="15">
      <c r="A605" s="39">
        <f>A602+1</f>
        <v>458</v>
      </c>
      <c r="B605" s="59" t="s">
        <v>447</v>
      </c>
      <c r="C605" s="92">
        <v>1971</v>
      </c>
      <c r="D605" s="95"/>
      <c r="E605" s="95" t="s">
        <v>94</v>
      </c>
      <c r="F605" s="95">
        <v>2</v>
      </c>
      <c r="G605" s="95">
        <v>2</v>
      </c>
      <c r="H605" s="97">
        <v>784.8</v>
      </c>
      <c r="I605" s="97">
        <v>722.2</v>
      </c>
      <c r="J605" s="97">
        <v>691</v>
      </c>
      <c r="K605" s="97">
        <v>27</v>
      </c>
      <c r="L605" s="97">
        <f>'виды работ  (2)'!C604</f>
        <v>2444762</v>
      </c>
      <c r="M605" s="97">
        <v>0</v>
      </c>
      <c r="N605" s="97">
        <v>0</v>
      </c>
      <c r="O605" s="97">
        <v>0</v>
      </c>
      <c r="P605" s="97">
        <f>L605</f>
        <v>2444762</v>
      </c>
      <c r="Q605" s="97">
        <f>L605/H605</f>
        <v>3115.140163098879</v>
      </c>
      <c r="R605" s="97">
        <v>42000</v>
      </c>
      <c r="S605" s="55" t="s">
        <v>843</v>
      </c>
      <c r="T605" s="92" t="s">
        <v>773</v>
      </c>
      <c r="X605" s="190"/>
    </row>
    <row r="606" spans="1:24" s="186" customFormat="1" ht="15">
      <c r="A606" s="117" t="s">
        <v>597</v>
      </c>
      <c r="B606" s="117"/>
      <c r="C606" s="86" t="s">
        <v>430</v>
      </c>
      <c r="D606" s="86" t="s">
        <v>430</v>
      </c>
      <c r="E606" s="86" t="s">
        <v>430</v>
      </c>
      <c r="F606" s="86" t="s">
        <v>430</v>
      </c>
      <c r="G606" s="86" t="s">
        <v>430</v>
      </c>
      <c r="H606" s="97">
        <f aca="true" t="shared" si="131" ref="H606:P606">SUM(H605:H605)</f>
        <v>784.8</v>
      </c>
      <c r="I606" s="97">
        <f t="shared" si="131"/>
        <v>722.2</v>
      </c>
      <c r="J606" s="97">
        <f t="shared" si="131"/>
        <v>691</v>
      </c>
      <c r="K606" s="97">
        <f t="shared" si="131"/>
        <v>27</v>
      </c>
      <c r="L606" s="97">
        <f t="shared" si="131"/>
        <v>2444762</v>
      </c>
      <c r="M606" s="97">
        <f t="shared" si="131"/>
        <v>0</v>
      </c>
      <c r="N606" s="97">
        <f t="shared" si="131"/>
        <v>0</v>
      </c>
      <c r="O606" s="97">
        <f t="shared" si="131"/>
        <v>0</v>
      </c>
      <c r="P606" s="97">
        <f t="shared" si="131"/>
        <v>2444762</v>
      </c>
      <c r="Q606" s="97">
        <f>L606/H606</f>
        <v>3115.140163098879</v>
      </c>
      <c r="R606" s="56" t="s">
        <v>430</v>
      </c>
      <c r="S606" s="56" t="s">
        <v>430</v>
      </c>
      <c r="T606" s="56" t="s">
        <v>430</v>
      </c>
      <c r="U606" s="190"/>
      <c r="X606" s="190"/>
    </row>
    <row r="607" spans="1:24" s="186" customFormat="1" ht="15" customHeight="1">
      <c r="A607" s="105" t="s">
        <v>706</v>
      </c>
      <c r="B607" s="110"/>
      <c r="C607" s="110"/>
      <c r="D607" s="110"/>
      <c r="E607" s="106"/>
      <c r="F607" s="218"/>
      <c r="G607" s="218"/>
      <c r="H607" s="218"/>
      <c r="I607" s="218"/>
      <c r="J607" s="218"/>
      <c r="K607" s="218"/>
      <c r="L607" s="178"/>
      <c r="M607" s="178"/>
      <c r="N607" s="178"/>
      <c r="O607" s="178"/>
      <c r="P607" s="178"/>
      <c r="Q607" s="178"/>
      <c r="R607" s="178"/>
      <c r="S607" s="178"/>
      <c r="T607" s="178"/>
      <c r="X607" s="190"/>
    </row>
    <row r="608" spans="1:24" s="186" customFormat="1" ht="15">
      <c r="A608" s="39">
        <f>A605+1</f>
        <v>459</v>
      </c>
      <c r="B608" s="219" t="s">
        <v>448</v>
      </c>
      <c r="C608" s="92">
        <v>1961</v>
      </c>
      <c r="D608" s="95"/>
      <c r="E608" s="95" t="s">
        <v>94</v>
      </c>
      <c r="F608" s="95">
        <v>2</v>
      </c>
      <c r="G608" s="95">
        <v>1</v>
      </c>
      <c r="H608" s="97">
        <v>342.2</v>
      </c>
      <c r="I608" s="97">
        <v>311.9</v>
      </c>
      <c r="J608" s="97">
        <v>207.9</v>
      </c>
      <c r="K608" s="96">
        <v>12</v>
      </c>
      <c r="L608" s="220">
        <f>'виды работ  (2)'!C607</f>
        <v>1233262</v>
      </c>
      <c r="M608" s="97">
        <v>0</v>
      </c>
      <c r="N608" s="97">
        <v>0</v>
      </c>
      <c r="O608" s="97">
        <v>0</v>
      </c>
      <c r="P608" s="97">
        <f>L608</f>
        <v>1233262</v>
      </c>
      <c r="Q608" s="97">
        <f>L608/H608</f>
        <v>3603.9216832261836</v>
      </c>
      <c r="R608" s="97">
        <v>42000</v>
      </c>
      <c r="S608" s="55" t="s">
        <v>843</v>
      </c>
      <c r="T608" s="92" t="s">
        <v>773</v>
      </c>
      <c r="U608" s="190"/>
      <c r="X608" s="190"/>
    </row>
    <row r="609" spans="1:24" s="186" customFormat="1" ht="15">
      <c r="A609" s="117" t="s">
        <v>597</v>
      </c>
      <c r="B609" s="117"/>
      <c r="C609" s="52" t="s">
        <v>430</v>
      </c>
      <c r="D609" s="52" t="s">
        <v>430</v>
      </c>
      <c r="E609" s="52" t="s">
        <v>430</v>
      </c>
      <c r="F609" s="52" t="s">
        <v>430</v>
      </c>
      <c r="G609" s="52" t="s">
        <v>430</v>
      </c>
      <c r="H609" s="221">
        <f>SUM(H608)</f>
        <v>342.2</v>
      </c>
      <c r="I609" s="221">
        <f aca="true" t="shared" si="132" ref="I609:P609">SUM(I608)</f>
        <v>311.9</v>
      </c>
      <c r="J609" s="221">
        <f t="shared" si="132"/>
        <v>207.9</v>
      </c>
      <c r="K609" s="222">
        <f t="shared" si="132"/>
        <v>12</v>
      </c>
      <c r="L609" s="97">
        <f t="shared" si="132"/>
        <v>1233262</v>
      </c>
      <c r="M609" s="97">
        <f t="shared" si="132"/>
        <v>0</v>
      </c>
      <c r="N609" s="97">
        <f t="shared" si="132"/>
        <v>0</v>
      </c>
      <c r="O609" s="97">
        <f t="shared" si="132"/>
        <v>0</v>
      </c>
      <c r="P609" s="97">
        <f t="shared" si="132"/>
        <v>1233262</v>
      </c>
      <c r="Q609" s="97">
        <f>L609/H609</f>
        <v>3603.9216832261836</v>
      </c>
      <c r="R609" s="56" t="s">
        <v>430</v>
      </c>
      <c r="S609" s="56" t="s">
        <v>430</v>
      </c>
      <c r="T609" s="56" t="s">
        <v>430</v>
      </c>
      <c r="U609" s="190"/>
      <c r="X609" s="190"/>
    </row>
    <row r="610" spans="1:24" s="186" customFormat="1" ht="15">
      <c r="A610" s="117" t="s">
        <v>650</v>
      </c>
      <c r="B610" s="117"/>
      <c r="C610" s="117"/>
      <c r="D610" s="86" t="s">
        <v>430</v>
      </c>
      <c r="E610" s="86" t="s">
        <v>430</v>
      </c>
      <c r="F610" s="86" t="s">
        <v>430</v>
      </c>
      <c r="G610" s="86" t="s">
        <v>430</v>
      </c>
      <c r="H610" s="97">
        <f>H609+H606+H603+H595+H586+H583+H579+H569</f>
        <v>49289.76</v>
      </c>
      <c r="I610" s="97">
        <f aca="true" t="shared" si="133" ref="I610:P610">I609+I606+I603+I595+I586+I583+I579+I569</f>
        <v>38214.649999999994</v>
      </c>
      <c r="J610" s="97">
        <f t="shared" si="133"/>
        <v>30828.4</v>
      </c>
      <c r="K610" s="97">
        <f t="shared" si="133"/>
        <v>1820</v>
      </c>
      <c r="L610" s="97">
        <f t="shared" si="133"/>
        <v>43445203</v>
      </c>
      <c r="M610" s="97">
        <f t="shared" si="133"/>
        <v>0</v>
      </c>
      <c r="N610" s="97">
        <f t="shared" si="133"/>
        <v>0</v>
      </c>
      <c r="O610" s="97">
        <f t="shared" si="133"/>
        <v>0</v>
      </c>
      <c r="P610" s="97">
        <f t="shared" si="133"/>
        <v>43445203</v>
      </c>
      <c r="Q610" s="97">
        <f>L610/H610</f>
        <v>881.4245190075991</v>
      </c>
      <c r="R610" s="56" t="s">
        <v>430</v>
      </c>
      <c r="S610" s="56" t="s">
        <v>430</v>
      </c>
      <c r="T610" s="56" t="s">
        <v>430</v>
      </c>
      <c r="U610" s="190"/>
      <c r="X610" s="190"/>
    </row>
    <row r="611" spans="1:24" s="226" customFormat="1" ht="15" customHeight="1">
      <c r="A611" s="223" t="s">
        <v>651</v>
      </c>
      <c r="B611" s="22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24"/>
      <c r="Q611" s="224"/>
      <c r="R611" s="224"/>
      <c r="S611" s="224"/>
      <c r="T611" s="225"/>
      <c r="X611" s="190"/>
    </row>
    <row r="612" spans="1:24" s="186" customFormat="1" ht="15">
      <c r="A612" s="105" t="s">
        <v>653</v>
      </c>
      <c r="B612" s="110"/>
      <c r="C612" s="110"/>
      <c r="D612" s="110"/>
      <c r="E612" s="106"/>
      <c r="F612" s="178"/>
      <c r="G612" s="178"/>
      <c r="H612" s="178"/>
      <c r="I612" s="178"/>
      <c r="J612" s="178"/>
      <c r="K612" s="178"/>
      <c r="L612" s="178"/>
      <c r="M612" s="178"/>
      <c r="N612" s="178"/>
      <c r="O612" s="178"/>
      <c r="P612" s="178"/>
      <c r="Q612" s="178"/>
      <c r="R612" s="178"/>
      <c r="S612" s="178"/>
      <c r="T612" s="178"/>
      <c r="X612" s="190"/>
    </row>
    <row r="613" spans="1:24" s="186" customFormat="1" ht="15">
      <c r="A613" s="72">
        <f>A608+1</f>
        <v>460</v>
      </c>
      <c r="B613" s="188" t="s">
        <v>452</v>
      </c>
      <c r="C613" s="92">
        <v>1957</v>
      </c>
      <c r="D613" s="95"/>
      <c r="E613" s="92" t="s">
        <v>94</v>
      </c>
      <c r="F613" s="95">
        <v>2</v>
      </c>
      <c r="G613" s="95">
        <v>3</v>
      </c>
      <c r="H613" s="97">
        <v>1076.5</v>
      </c>
      <c r="I613" s="97">
        <v>990.6</v>
      </c>
      <c r="J613" s="97">
        <v>898.3</v>
      </c>
      <c r="K613" s="96">
        <v>35</v>
      </c>
      <c r="L613" s="97">
        <f>'виды работ  (2)'!C612</f>
        <v>4847664</v>
      </c>
      <c r="M613" s="97">
        <v>0</v>
      </c>
      <c r="N613" s="97">
        <v>0</v>
      </c>
      <c r="O613" s="97">
        <v>0</v>
      </c>
      <c r="P613" s="97">
        <f aca="true" t="shared" si="134" ref="P613:P619">L613</f>
        <v>4847664</v>
      </c>
      <c r="Q613" s="97">
        <f aca="true" t="shared" si="135" ref="Q613:Q621">L613/H613</f>
        <v>4503.17138875987</v>
      </c>
      <c r="R613" s="97">
        <v>42000</v>
      </c>
      <c r="S613" s="55" t="s">
        <v>843</v>
      </c>
      <c r="T613" s="92" t="s">
        <v>773</v>
      </c>
      <c r="X613" s="190"/>
    </row>
    <row r="614" spans="1:24" s="186" customFormat="1" ht="15">
      <c r="A614" s="72">
        <f aca="true" t="shared" si="136" ref="A614:A619">A613+1</f>
        <v>461</v>
      </c>
      <c r="B614" s="188" t="s">
        <v>451</v>
      </c>
      <c r="C614" s="92">
        <v>1971</v>
      </c>
      <c r="D614" s="95"/>
      <c r="E614" s="92" t="s">
        <v>94</v>
      </c>
      <c r="F614" s="95">
        <v>5</v>
      </c>
      <c r="G614" s="95">
        <v>8</v>
      </c>
      <c r="H614" s="97">
        <v>7197.3</v>
      </c>
      <c r="I614" s="97">
        <v>5352.1</v>
      </c>
      <c r="J614" s="97">
        <v>4630.4</v>
      </c>
      <c r="K614" s="96">
        <v>243</v>
      </c>
      <c r="L614" s="97">
        <f>'виды работ  (2)'!C613</f>
        <v>2313400</v>
      </c>
      <c r="M614" s="97">
        <v>0</v>
      </c>
      <c r="N614" s="97">
        <v>0</v>
      </c>
      <c r="O614" s="97">
        <v>0</v>
      </c>
      <c r="P614" s="97">
        <f t="shared" si="134"/>
        <v>2313400</v>
      </c>
      <c r="Q614" s="97">
        <f t="shared" si="135"/>
        <v>321.42609033943285</v>
      </c>
      <c r="R614" s="97">
        <v>42000</v>
      </c>
      <c r="S614" s="55" t="s">
        <v>843</v>
      </c>
      <c r="T614" s="92" t="s">
        <v>773</v>
      </c>
      <c r="X614" s="190"/>
    </row>
    <row r="615" spans="1:24" s="186" customFormat="1" ht="15">
      <c r="A615" s="72">
        <f t="shared" si="136"/>
        <v>462</v>
      </c>
      <c r="B615" s="188" t="s">
        <v>455</v>
      </c>
      <c r="C615" s="92">
        <v>1985</v>
      </c>
      <c r="D615" s="95"/>
      <c r="E615" s="95" t="s">
        <v>442</v>
      </c>
      <c r="F615" s="95">
        <v>5</v>
      </c>
      <c r="G615" s="95">
        <v>6</v>
      </c>
      <c r="H615" s="97">
        <v>5768.1</v>
      </c>
      <c r="I615" s="97">
        <v>4266.9</v>
      </c>
      <c r="J615" s="97">
        <v>3599</v>
      </c>
      <c r="K615" s="96">
        <v>242</v>
      </c>
      <c r="L615" s="97">
        <f>'виды работ  (2)'!C614</f>
        <v>264463</v>
      </c>
      <c r="M615" s="97">
        <v>0</v>
      </c>
      <c r="N615" s="97">
        <v>0</v>
      </c>
      <c r="O615" s="97">
        <v>0</v>
      </c>
      <c r="P615" s="97">
        <f t="shared" si="134"/>
        <v>264463</v>
      </c>
      <c r="Q615" s="97">
        <f t="shared" si="135"/>
        <v>45.84923978433106</v>
      </c>
      <c r="R615" s="97">
        <v>42000</v>
      </c>
      <c r="S615" s="55" t="s">
        <v>843</v>
      </c>
      <c r="T615" s="92" t="s">
        <v>773</v>
      </c>
      <c r="X615" s="190"/>
    </row>
    <row r="616" spans="1:24" s="186" customFormat="1" ht="15">
      <c r="A616" s="72">
        <f t="shared" si="136"/>
        <v>463</v>
      </c>
      <c r="B616" s="188" t="s">
        <v>449</v>
      </c>
      <c r="C616" s="92">
        <v>1982</v>
      </c>
      <c r="D616" s="95"/>
      <c r="E616" s="95" t="s">
        <v>442</v>
      </c>
      <c r="F616" s="95">
        <v>9</v>
      </c>
      <c r="G616" s="95">
        <v>1</v>
      </c>
      <c r="H616" s="97">
        <v>3264.3</v>
      </c>
      <c r="I616" s="97">
        <v>2219.6</v>
      </c>
      <c r="J616" s="97">
        <v>2030.2</v>
      </c>
      <c r="K616" s="96">
        <v>95</v>
      </c>
      <c r="L616" s="97">
        <f>'виды работ  (2)'!C615</f>
        <v>401309</v>
      </c>
      <c r="M616" s="97">
        <v>0</v>
      </c>
      <c r="N616" s="97">
        <v>0</v>
      </c>
      <c r="O616" s="97">
        <v>0</v>
      </c>
      <c r="P616" s="97">
        <f t="shared" si="134"/>
        <v>401309</v>
      </c>
      <c r="Q616" s="97">
        <f t="shared" si="135"/>
        <v>122.93876175596606</v>
      </c>
      <c r="R616" s="97">
        <v>42000</v>
      </c>
      <c r="S616" s="55" t="s">
        <v>843</v>
      </c>
      <c r="T616" s="92" t="s">
        <v>773</v>
      </c>
      <c r="X616" s="190"/>
    </row>
    <row r="617" spans="1:24" s="186" customFormat="1" ht="15">
      <c r="A617" s="72">
        <f t="shared" si="136"/>
        <v>464</v>
      </c>
      <c r="B617" s="188" t="s">
        <v>450</v>
      </c>
      <c r="C617" s="92">
        <v>1975</v>
      </c>
      <c r="D617" s="95"/>
      <c r="E617" s="92" t="s">
        <v>94</v>
      </c>
      <c r="F617" s="95">
        <v>5</v>
      </c>
      <c r="G617" s="95">
        <v>6</v>
      </c>
      <c r="H617" s="97">
        <v>5982.1</v>
      </c>
      <c r="I617" s="97">
        <v>4527.6</v>
      </c>
      <c r="J617" s="97">
        <v>3993.9</v>
      </c>
      <c r="K617" s="96">
        <v>205</v>
      </c>
      <c r="L617" s="97">
        <f>'виды работ  (2)'!C616</f>
        <v>4483252</v>
      </c>
      <c r="M617" s="97">
        <v>0</v>
      </c>
      <c r="N617" s="97">
        <v>0</v>
      </c>
      <c r="O617" s="97">
        <v>0</v>
      </c>
      <c r="P617" s="97">
        <f t="shared" si="134"/>
        <v>4483252</v>
      </c>
      <c r="Q617" s="97">
        <f t="shared" si="135"/>
        <v>749.444509453202</v>
      </c>
      <c r="R617" s="97">
        <v>42000</v>
      </c>
      <c r="S617" s="55" t="s">
        <v>843</v>
      </c>
      <c r="T617" s="92" t="s">
        <v>773</v>
      </c>
      <c r="X617" s="190"/>
    </row>
    <row r="618" spans="1:24" s="186" customFormat="1" ht="15">
      <c r="A618" s="72">
        <f t="shared" si="136"/>
        <v>465</v>
      </c>
      <c r="B618" s="188" t="s">
        <v>454</v>
      </c>
      <c r="C618" s="92">
        <v>1977</v>
      </c>
      <c r="D618" s="95"/>
      <c r="E618" s="92" t="s">
        <v>94</v>
      </c>
      <c r="F618" s="95">
        <v>2</v>
      </c>
      <c r="G618" s="95">
        <v>2</v>
      </c>
      <c r="H618" s="97">
        <v>809</v>
      </c>
      <c r="I618" s="97">
        <v>746.5</v>
      </c>
      <c r="J618" s="97">
        <v>446.7</v>
      </c>
      <c r="K618" s="96">
        <v>36</v>
      </c>
      <c r="L618" s="97">
        <f>'виды работ  (2)'!C617</f>
        <v>1731864</v>
      </c>
      <c r="M618" s="97">
        <v>0</v>
      </c>
      <c r="N618" s="97">
        <v>0</v>
      </c>
      <c r="O618" s="97">
        <v>0</v>
      </c>
      <c r="P618" s="97">
        <f t="shared" si="134"/>
        <v>1731864</v>
      </c>
      <c r="Q618" s="97">
        <f t="shared" si="135"/>
        <v>2140.7466007416565</v>
      </c>
      <c r="R618" s="97">
        <v>42000</v>
      </c>
      <c r="S618" s="55" t="s">
        <v>843</v>
      </c>
      <c r="T618" s="92" t="s">
        <v>773</v>
      </c>
      <c r="X618" s="190"/>
    </row>
    <row r="619" spans="1:24" s="186" customFormat="1" ht="15">
      <c r="A619" s="72">
        <f t="shared" si="136"/>
        <v>466</v>
      </c>
      <c r="B619" s="188" t="s">
        <v>453</v>
      </c>
      <c r="C619" s="92">
        <v>1995</v>
      </c>
      <c r="D619" s="95"/>
      <c r="E619" s="95" t="s">
        <v>442</v>
      </c>
      <c r="F619" s="95">
        <v>9</v>
      </c>
      <c r="G619" s="95">
        <v>1</v>
      </c>
      <c r="H619" s="97">
        <v>4294.5</v>
      </c>
      <c r="I619" s="97">
        <v>3229.2</v>
      </c>
      <c r="J619" s="97">
        <v>2388.5</v>
      </c>
      <c r="K619" s="96">
        <v>169</v>
      </c>
      <c r="L619" s="97">
        <f>'виды работ  (2)'!C618</f>
        <v>3022936</v>
      </c>
      <c r="M619" s="97">
        <v>0</v>
      </c>
      <c r="N619" s="97">
        <v>0</v>
      </c>
      <c r="O619" s="97">
        <v>0</v>
      </c>
      <c r="P619" s="97">
        <f t="shared" si="134"/>
        <v>3022936</v>
      </c>
      <c r="Q619" s="97">
        <f t="shared" si="135"/>
        <v>703.9087204563978</v>
      </c>
      <c r="R619" s="97">
        <v>42000</v>
      </c>
      <c r="S619" s="55" t="s">
        <v>843</v>
      </c>
      <c r="T619" s="92" t="s">
        <v>773</v>
      </c>
      <c r="X619" s="190"/>
    </row>
    <row r="620" spans="1:24" s="186" customFormat="1" ht="15">
      <c r="A620" s="117" t="s">
        <v>597</v>
      </c>
      <c r="B620" s="117"/>
      <c r="C620" s="86" t="s">
        <v>430</v>
      </c>
      <c r="D620" s="86" t="s">
        <v>430</v>
      </c>
      <c r="E620" s="86" t="s">
        <v>430</v>
      </c>
      <c r="F620" s="86" t="s">
        <v>430</v>
      </c>
      <c r="G620" s="86" t="s">
        <v>430</v>
      </c>
      <c r="H620" s="97">
        <f aca="true" t="shared" si="137" ref="H620:P620">SUM(H613:H619)</f>
        <v>28391.800000000003</v>
      </c>
      <c r="I620" s="97">
        <f t="shared" si="137"/>
        <v>21332.500000000004</v>
      </c>
      <c r="J620" s="97">
        <f t="shared" si="137"/>
        <v>17987</v>
      </c>
      <c r="K620" s="96">
        <f t="shared" si="137"/>
        <v>1025</v>
      </c>
      <c r="L620" s="97">
        <f t="shared" si="137"/>
        <v>17064888</v>
      </c>
      <c r="M620" s="97">
        <f t="shared" si="137"/>
        <v>0</v>
      </c>
      <c r="N620" s="97">
        <f t="shared" si="137"/>
        <v>0</v>
      </c>
      <c r="O620" s="97">
        <f t="shared" si="137"/>
        <v>0</v>
      </c>
      <c r="P620" s="97">
        <f t="shared" si="137"/>
        <v>17064888</v>
      </c>
      <c r="Q620" s="97">
        <f t="shared" si="135"/>
        <v>601.0498805993279</v>
      </c>
      <c r="R620" s="97">
        <v>42000</v>
      </c>
      <c r="S620" s="55" t="s">
        <v>843</v>
      </c>
      <c r="T620" s="92" t="s">
        <v>773</v>
      </c>
      <c r="U620" s="190"/>
      <c r="X620" s="190"/>
    </row>
    <row r="621" spans="1:24" s="186" customFormat="1" ht="15">
      <c r="A621" s="140" t="s">
        <v>654</v>
      </c>
      <c r="B621" s="140"/>
      <c r="C621" s="140"/>
      <c r="D621" s="86" t="s">
        <v>430</v>
      </c>
      <c r="E621" s="86" t="s">
        <v>430</v>
      </c>
      <c r="F621" s="86" t="s">
        <v>430</v>
      </c>
      <c r="G621" s="86" t="s">
        <v>430</v>
      </c>
      <c r="H621" s="97">
        <f>H620</f>
        <v>28391.800000000003</v>
      </c>
      <c r="I621" s="97">
        <f aca="true" t="shared" si="138" ref="I621:P621">I620</f>
        <v>21332.500000000004</v>
      </c>
      <c r="J621" s="97">
        <f t="shared" si="138"/>
        <v>17987</v>
      </c>
      <c r="K621" s="96">
        <f t="shared" si="138"/>
        <v>1025</v>
      </c>
      <c r="L621" s="97">
        <f t="shared" si="138"/>
        <v>17064888</v>
      </c>
      <c r="M621" s="97">
        <f t="shared" si="138"/>
        <v>0</v>
      </c>
      <c r="N621" s="97">
        <f t="shared" si="138"/>
        <v>0</v>
      </c>
      <c r="O621" s="97">
        <f t="shared" si="138"/>
        <v>0</v>
      </c>
      <c r="P621" s="97">
        <f t="shared" si="138"/>
        <v>17064888</v>
      </c>
      <c r="Q621" s="97">
        <f t="shared" si="135"/>
        <v>601.0498805993279</v>
      </c>
      <c r="R621" s="56" t="s">
        <v>430</v>
      </c>
      <c r="S621" s="56" t="s">
        <v>430</v>
      </c>
      <c r="T621" s="56" t="s">
        <v>430</v>
      </c>
      <c r="U621" s="190"/>
      <c r="X621" s="190"/>
    </row>
    <row r="622" spans="1:24" s="186" customFormat="1" ht="15">
      <c r="A622" s="223" t="s">
        <v>655</v>
      </c>
      <c r="B622" s="224"/>
      <c r="C622" s="224"/>
      <c r="D622" s="224"/>
      <c r="E622" s="224"/>
      <c r="F622" s="224"/>
      <c r="G622" s="224"/>
      <c r="H622" s="224"/>
      <c r="I622" s="224"/>
      <c r="J622" s="224"/>
      <c r="K622" s="224"/>
      <c r="L622" s="224"/>
      <c r="M622" s="224"/>
      <c r="N622" s="224"/>
      <c r="O622" s="224"/>
      <c r="P622" s="224"/>
      <c r="Q622" s="224"/>
      <c r="R622" s="224"/>
      <c r="S622" s="224"/>
      <c r="T622" s="225"/>
      <c r="X622" s="190"/>
    </row>
    <row r="623" spans="1:24" s="186" customFormat="1" ht="15" customHeight="1">
      <c r="A623" s="124" t="s">
        <v>656</v>
      </c>
      <c r="B623" s="125"/>
      <c r="C623" s="125"/>
      <c r="D623" s="125"/>
      <c r="E623" s="126"/>
      <c r="F623" s="178"/>
      <c r="G623" s="178"/>
      <c r="H623" s="178"/>
      <c r="I623" s="178"/>
      <c r="J623" s="178"/>
      <c r="K623" s="178"/>
      <c r="L623" s="178"/>
      <c r="M623" s="178"/>
      <c r="N623" s="178"/>
      <c r="O623" s="178"/>
      <c r="P623" s="178"/>
      <c r="Q623" s="178"/>
      <c r="R623" s="178"/>
      <c r="S623" s="178"/>
      <c r="T623" s="178"/>
      <c r="X623" s="190"/>
    </row>
    <row r="624" spans="1:24" s="186" customFormat="1" ht="15">
      <c r="A624" s="72">
        <f>A619+1</f>
        <v>467</v>
      </c>
      <c r="B624" s="13" t="s">
        <v>459</v>
      </c>
      <c r="C624" s="92">
        <v>1950</v>
      </c>
      <c r="D624" s="188"/>
      <c r="E624" s="92" t="s">
        <v>94</v>
      </c>
      <c r="F624" s="95">
        <v>2</v>
      </c>
      <c r="G624" s="95">
        <v>1</v>
      </c>
      <c r="H624" s="97">
        <v>237.54</v>
      </c>
      <c r="I624" s="97">
        <v>223.84</v>
      </c>
      <c r="J624" s="97">
        <v>169.44</v>
      </c>
      <c r="K624" s="96">
        <v>13</v>
      </c>
      <c r="L624" s="97">
        <f>'виды работ  (2)'!C623</f>
        <v>1123942</v>
      </c>
      <c r="M624" s="97">
        <v>0</v>
      </c>
      <c r="N624" s="97">
        <v>0</v>
      </c>
      <c r="O624" s="97">
        <v>0</v>
      </c>
      <c r="P624" s="97">
        <f>L624</f>
        <v>1123942</v>
      </c>
      <c r="Q624" s="97">
        <f aca="true" t="shared" si="139" ref="Q624:Q629">L624/H624</f>
        <v>4731.590468973647</v>
      </c>
      <c r="R624" s="97">
        <v>42000</v>
      </c>
      <c r="S624" s="55" t="s">
        <v>843</v>
      </c>
      <c r="T624" s="92" t="s">
        <v>773</v>
      </c>
      <c r="X624" s="190"/>
    </row>
    <row r="625" spans="1:24" s="186" customFormat="1" ht="15">
      <c r="A625" s="72">
        <f>A624+1</f>
        <v>468</v>
      </c>
      <c r="B625" s="13" t="s">
        <v>460</v>
      </c>
      <c r="C625" s="92">
        <v>1950</v>
      </c>
      <c r="D625" s="188"/>
      <c r="E625" s="92" t="s">
        <v>94</v>
      </c>
      <c r="F625" s="95">
        <v>2</v>
      </c>
      <c r="G625" s="95">
        <v>1</v>
      </c>
      <c r="H625" s="97">
        <v>235.6</v>
      </c>
      <c r="I625" s="97">
        <v>221.9</v>
      </c>
      <c r="J625" s="97">
        <v>221.9</v>
      </c>
      <c r="K625" s="96">
        <v>9</v>
      </c>
      <c r="L625" s="97">
        <f>'виды работ  (2)'!C624</f>
        <v>1123942</v>
      </c>
      <c r="M625" s="97">
        <v>0</v>
      </c>
      <c r="N625" s="97">
        <v>0</v>
      </c>
      <c r="O625" s="97">
        <v>0</v>
      </c>
      <c r="P625" s="97">
        <f>L625</f>
        <v>1123942</v>
      </c>
      <c r="Q625" s="97">
        <f t="shared" si="139"/>
        <v>4770.551782682513</v>
      </c>
      <c r="R625" s="97">
        <v>42000</v>
      </c>
      <c r="S625" s="55" t="s">
        <v>843</v>
      </c>
      <c r="T625" s="92" t="s">
        <v>773</v>
      </c>
      <c r="X625" s="190"/>
    </row>
    <row r="626" spans="1:24" s="186" customFormat="1" ht="15">
      <c r="A626" s="72">
        <f>A625+1</f>
        <v>469</v>
      </c>
      <c r="B626" s="13" t="s">
        <v>457</v>
      </c>
      <c r="C626" s="92">
        <v>1952</v>
      </c>
      <c r="D626" s="188"/>
      <c r="E626" s="92" t="s">
        <v>94</v>
      </c>
      <c r="F626" s="95">
        <v>2</v>
      </c>
      <c r="G626" s="95">
        <v>2</v>
      </c>
      <c r="H626" s="97">
        <v>618.3</v>
      </c>
      <c r="I626" s="97">
        <v>556.9</v>
      </c>
      <c r="J626" s="97">
        <v>498.72</v>
      </c>
      <c r="K626" s="96">
        <v>26</v>
      </c>
      <c r="L626" s="97">
        <f>'виды работ  (2)'!C625</f>
        <v>2746930</v>
      </c>
      <c r="M626" s="97">
        <v>0</v>
      </c>
      <c r="N626" s="97">
        <v>0</v>
      </c>
      <c r="O626" s="97">
        <v>0</v>
      </c>
      <c r="P626" s="97">
        <f>L626</f>
        <v>2746930</v>
      </c>
      <c r="Q626" s="97">
        <f t="shared" si="139"/>
        <v>4442.713892932234</v>
      </c>
      <c r="R626" s="97">
        <v>42000</v>
      </c>
      <c r="S626" s="55" t="s">
        <v>843</v>
      </c>
      <c r="T626" s="92" t="s">
        <v>773</v>
      </c>
      <c r="X626" s="190"/>
    </row>
    <row r="627" spans="1:24" s="186" customFormat="1" ht="15">
      <c r="A627" s="72">
        <f>A626+1</f>
        <v>470</v>
      </c>
      <c r="B627" s="13" t="s">
        <v>458</v>
      </c>
      <c r="C627" s="92">
        <v>1949</v>
      </c>
      <c r="D627" s="188"/>
      <c r="E627" s="92" t="s">
        <v>94</v>
      </c>
      <c r="F627" s="95">
        <v>2</v>
      </c>
      <c r="G627" s="95">
        <v>1</v>
      </c>
      <c r="H627" s="97">
        <v>436.7</v>
      </c>
      <c r="I627" s="97">
        <v>419.38</v>
      </c>
      <c r="J627" s="97">
        <v>360.98</v>
      </c>
      <c r="K627" s="96">
        <v>18</v>
      </c>
      <c r="L627" s="97">
        <f>'виды работ  (2)'!C626</f>
        <v>1845929</v>
      </c>
      <c r="M627" s="97">
        <v>0</v>
      </c>
      <c r="N627" s="97">
        <v>0</v>
      </c>
      <c r="O627" s="97">
        <v>0</v>
      </c>
      <c r="P627" s="97">
        <f>L627</f>
        <v>1845929</v>
      </c>
      <c r="Q627" s="97">
        <f t="shared" si="139"/>
        <v>4226.995649187085</v>
      </c>
      <c r="R627" s="97">
        <v>42000</v>
      </c>
      <c r="S627" s="55" t="s">
        <v>843</v>
      </c>
      <c r="T627" s="92" t="s">
        <v>773</v>
      </c>
      <c r="X627" s="190"/>
    </row>
    <row r="628" spans="1:24" s="186" customFormat="1" ht="15">
      <c r="A628" s="72">
        <f>A627+1</f>
        <v>471</v>
      </c>
      <c r="B628" s="13" t="s">
        <v>456</v>
      </c>
      <c r="C628" s="92">
        <v>1963</v>
      </c>
      <c r="D628" s="188"/>
      <c r="E628" s="92" t="s">
        <v>94</v>
      </c>
      <c r="F628" s="95">
        <v>4</v>
      </c>
      <c r="G628" s="95">
        <v>3</v>
      </c>
      <c r="H628" s="97">
        <v>1323.74</v>
      </c>
      <c r="I628" s="97">
        <v>1275.74</v>
      </c>
      <c r="J628" s="97">
        <v>1169.93</v>
      </c>
      <c r="K628" s="96">
        <v>60</v>
      </c>
      <c r="L628" s="97">
        <f>'виды работ  (2)'!C627</f>
        <v>2800418</v>
      </c>
      <c r="M628" s="97">
        <v>0</v>
      </c>
      <c r="N628" s="97">
        <v>0</v>
      </c>
      <c r="O628" s="97">
        <v>0</v>
      </c>
      <c r="P628" s="97">
        <f>L628</f>
        <v>2800418</v>
      </c>
      <c r="Q628" s="97">
        <f t="shared" si="139"/>
        <v>2115.534772689501</v>
      </c>
      <c r="R628" s="97">
        <v>42000</v>
      </c>
      <c r="S628" s="55" t="s">
        <v>843</v>
      </c>
      <c r="T628" s="92" t="s">
        <v>773</v>
      </c>
      <c r="X628" s="190"/>
    </row>
    <row r="629" spans="1:24" s="186" customFormat="1" ht="15">
      <c r="A629" s="117" t="s">
        <v>597</v>
      </c>
      <c r="B629" s="117"/>
      <c r="C629" s="86" t="s">
        <v>430</v>
      </c>
      <c r="D629" s="86" t="s">
        <v>430</v>
      </c>
      <c r="E629" s="86" t="s">
        <v>430</v>
      </c>
      <c r="F629" s="86" t="s">
        <v>430</v>
      </c>
      <c r="G629" s="86" t="s">
        <v>430</v>
      </c>
      <c r="H629" s="97">
        <f aca="true" t="shared" si="140" ref="H629:P629">SUM(H624:H628)</f>
        <v>2851.88</v>
      </c>
      <c r="I629" s="97">
        <f t="shared" si="140"/>
        <v>2697.76</v>
      </c>
      <c r="J629" s="97">
        <f t="shared" si="140"/>
        <v>2420.9700000000003</v>
      </c>
      <c r="K629" s="96">
        <f t="shared" si="140"/>
        <v>126</v>
      </c>
      <c r="L629" s="97">
        <f t="shared" si="140"/>
        <v>9641161</v>
      </c>
      <c r="M629" s="97">
        <f t="shared" si="140"/>
        <v>0</v>
      </c>
      <c r="N629" s="97">
        <f t="shared" si="140"/>
        <v>0</v>
      </c>
      <c r="O629" s="97">
        <f t="shared" si="140"/>
        <v>0</v>
      </c>
      <c r="P629" s="97">
        <f t="shared" si="140"/>
        <v>9641161</v>
      </c>
      <c r="Q629" s="97">
        <f t="shared" si="139"/>
        <v>3380.633476864384</v>
      </c>
      <c r="R629" s="56" t="s">
        <v>430</v>
      </c>
      <c r="S629" s="56" t="s">
        <v>430</v>
      </c>
      <c r="T629" s="56" t="s">
        <v>430</v>
      </c>
      <c r="U629" s="190"/>
      <c r="X629" s="190"/>
    </row>
    <row r="630" spans="1:24" s="186" customFormat="1" ht="15" customHeight="1">
      <c r="A630" s="105" t="s">
        <v>658</v>
      </c>
      <c r="B630" s="110"/>
      <c r="C630" s="110"/>
      <c r="D630" s="110"/>
      <c r="E630" s="106"/>
      <c r="F630" s="178"/>
      <c r="G630" s="178"/>
      <c r="H630" s="178"/>
      <c r="I630" s="178"/>
      <c r="J630" s="178"/>
      <c r="K630" s="218"/>
      <c r="L630" s="178"/>
      <c r="M630" s="178"/>
      <c r="N630" s="178"/>
      <c r="O630" s="178"/>
      <c r="P630" s="178"/>
      <c r="Q630" s="178"/>
      <c r="R630" s="178"/>
      <c r="S630" s="178"/>
      <c r="T630" s="178"/>
      <c r="X630" s="190"/>
    </row>
    <row r="631" spans="1:24" s="186" customFormat="1" ht="15">
      <c r="A631" s="39">
        <f>A628+1</f>
        <v>472</v>
      </c>
      <c r="B631" s="199" t="s">
        <v>461</v>
      </c>
      <c r="C631" s="92">
        <v>1965</v>
      </c>
      <c r="D631" s="95"/>
      <c r="E631" s="92" t="s">
        <v>94</v>
      </c>
      <c r="F631" s="95">
        <v>2</v>
      </c>
      <c r="G631" s="95">
        <v>2</v>
      </c>
      <c r="H631" s="97">
        <v>641</v>
      </c>
      <c r="I631" s="97">
        <v>431.5</v>
      </c>
      <c r="J631" s="227">
        <v>209.5</v>
      </c>
      <c r="K631" s="10">
        <v>38</v>
      </c>
      <c r="L631" s="220">
        <f>'виды работ  (2)'!C630</f>
        <v>3325302</v>
      </c>
      <c r="M631" s="97">
        <v>0</v>
      </c>
      <c r="N631" s="97">
        <v>0</v>
      </c>
      <c r="O631" s="97">
        <v>0</v>
      </c>
      <c r="P631" s="97">
        <f>L631</f>
        <v>3325302</v>
      </c>
      <c r="Q631" s="97">
        <f>L631/H631</f>
        <v>5187.678627145086</v>
      </c>
      <c r="R631" s="97">
        <v>42000</v>
      </c>
      <c r="S631" s="55" t="s">
        <v>843</v>
      </c>
      <c r="T631" s="92" t="s">
        <v>773</v>
      </c>
      <c r="X631" s="190"/>
    </row>
    <row r="632" spans="1:24" s="186" customFormat="1" ht="15">
      <c r="A632" s="39">
        <f>A631+1</f>
        <v>473</v>
      </c>
      <c r="B632" s="199" t="s">
        <v>462</v>
      </c>
      <c r="C632" s="92">
        <v>1960</v>
      </c>
      <c r="D632" s="95"/>
      <c r="E632" s="92" t="s">
        <v>94</v>
      </c>
      <c r="F632" s="95">
        <v>2</v>
      </c>
      <c r="G632" s="95">
        <v>2</v>
      </c>
      <c r="H632" s="97">
        <v>634</v>
      </c>
      <c r="I632" s="97">
        <v>426.1</v>
      </c>
      <c r="J632" s="227">
        <v>207.9</v>
      </c>
      <c r="K632" s="96">
        <v>31</v>
      </c>
      <c r="L632" s="220">
        <f>'виды работ  (2)'!C631</f>
        <v>4218150</v>
      </c>
      <c r="M632" s="97">
        <v>0</v>
      </c>
      <c r="N632" s="97">
        <v>0</v>
      </c>
      <c r="O632" s="97">
        <v>0</v>
      </c>
      <c r="P632" s="97">
        <f>L632</f>
        <v>4218150</v>
      </c>
      <c r="Q632" s="97">
        <f>L632/H632</f>
        <v>6653.233438485804</v>
      </c>
      <c r="R632" s="97">
        <v>42000</v>
      </c>
      <c r="S632" s="55" t="s">
        <v>843</v>
      </c>
      <c r="T632" s="92" t="s">
        <v>773</v>
      </c>
      <c r="X632" s="190"/>
    </row>
    <row r="633" spans="1:24" s="186" customFormat="1" ht="15">
      <c r="A633" s="39">
        <f>A632+1</f>
        <v>474</v>
      </c>
      <c r="B633" s="199" t="s">
        <v>463</v>
      </c>
      <c r="C633" s="92">
        <v>1960</v>
      </c>
      <c r="D633" s="95"/>
      <c r="E633" s="92" t="s">
        <v>94</v>
      </c>
      <c r="F633" s="95">
        <v>2</v>
      </c>
      <c r="G633" s="95">
        <v>2</v>
      </c>
      <c r="H633" s="97">
        <v>632.5</v>
      </c>
      <c r="I633" s="97">
        <v>419.5</v>
      </c>
      <c r="J633" s="227">
        <v>213</v>
      </c>
      <c r="K633" s="10">
        <v>33</v>
      </c>
      <c r="L633" s="220">
        <f>'виды работ  (2)'!C632</f>
        <v>4218150</v>
      </c>
      <c r="M633" s="97">
        <v>0</v>
      </c>
      <c r="N633" s="97">
        <v>0</v>
      </c>
      <c r="O633" s="97">
        <v>0</v>
      </c>
      <c r="P633" s="97">
        <f>L633</f>
        <v>4218150</v>
      </c>
      <c r="Q633" s="97">
        <f>L633/H633</f>
        <v>6669.01185770751</v>
      </c>
      <c r="R633" s="97">
        <v>42000</v>
      </c>
      <c r="S633" s="55" t="s">
        <v>843</v>
      </c>
      <c r="T633" s="92" t="s">
        <v>773</v>
      </c>
      <c r="X633" s="190"/>
    </row>
    <row r="634" spans="1:24" s="186" customFormat="1" ht="15">
      <c r="A634" s="39">
        <f>A633+1</f>
        <v>475</v>
      </c>
      <c r="B634" s="199" t="s">
        <v>464</v>
      </c>
      <c r="C634" s="92">
        <v>1955</v>
      </c>
      <c r="D634" s="95"/>
      <c r="E634" s="92" t="s">
        <v>94</v>
      </c>
      <c r="F634" s="95">
        <v>2</v>
      </c>
      <c r="G634" s="95">
        <v>2</v>
      </c>
      <c r="H634" s="97">
        <v>606.3</v>
      </c>
      <c r="I634" s="97">
        <v>409.9</v>
      </c>
      <c r="J634" s="227">
        <v>196.4</v>
      </c>
      <c r="K634" s="10">
        <v>32</v>
      </c>
      <c r="L634" s="220">
        <f>'виды работ  (2)'!C633</f>
        <v>4233734</v>
      </c>
      <c r="M634" s="97">
        <v>0</v>
      </c>
      <c r="N634" s="97">
        <v>0</v>
      </c>
      <c r="O634" s="97">
        <v>0</v>
      </c>
      <c r="P634" s="97">
        <f>L634</f>
        <v>4233734</v>
      </c>
      <c r="Q634" s="97">
        <f>L634/H634</f>
        <v>6982.902853372918</v>
      </c>
      <c r="R634" s="97">
        <v>42000</v>
      </c>
      <c r="S634" s="55" t="s">
        <v>843</v>
      </c>
      <c r="T634" s="92" t="s">
        <v>773</v>
      </c>
      <c r="X634" s="190"/>
    </row>
    <row r="635" spans="1:24" s="186" customFormat="1" ht="15">
      <c r="A635" s="117" t="s">
        <v>597</v>
      </c>
      <c r="B635" s="117"/>
      <c r="C635" s="86" t="s">
        <v>430</v>
      </c>
      <c r="D635" s="86" t="s">
        <v>430</v>
      </c>
      <c r="E635" s="86" t="s">
        <v>430</v>
      </c>
      <c r="F635" s="86" t="s">
        <v>430</v>
      </c>
      <c r="G635" s="86" t="s">
        <v>430</v>
      </c>
      <c r="H635" s="97">
        <f aca="true" t="shared" si="141" ref="H635:P635">SUM(H631:H634)</f>
        <v>2513.8</v>
      </c>
      <c r="I635" s="97">
        <f t="shared" si="141"/>
        <v>1687</v>
      </c>
      <c r="J635" s="97">
        <f t="shared" si="141"/>
        <v>826.8</v>
      </c>
      <c r="K635" s="222">
        <f t="shared" si="141"/>
        <v>134</v>
      </c>
      <c r="L635" s="97">
        <f t="shared" si="141"/>
        <v>15995336</v>
      </c>
      <c r="M635" s="97">
        <f t="shared" si="141"/>
        <v>0</v>
      </c>
      <c r="N635" s="97">
        <f t="shared" si="141"/>
        <v>0</v>
      </c>
      <c r="O635" s="97">
        <f t="shared" si="141"/>
        <v>0</v>
      </c>
      <c r="P635" s="97">
        <f t="shared" si="141"/>
        <v>15995336</v>
      </c>
      <c r="Q635" s="97">
        <f>L635/H635</f>
        <v>6363.010581589625</v>
      </c>
      <c r="R635" s="56" t="s">
        <v>430</v>
      </c>
      <c r="S635" s="56" t="s">
        <v>430</v>
      </c>
      <c r="T635" s="56" t="s">
        <v>430</v>
      </c>
      <c r="U635" s="190"/>
      <c r="X635" s="190"/>
    </row>
    <row r="636" spans="1:24" s="186" customFormat="1" ht="15">
      <c r="A636" s="105" t="s">
        <v>696</v>
      </c>
      <c r="B636" s="110"/>
      <c r="C636" s="110"/>
      <c r="D636" s="110"/>
      <c r="E636" s="106"/>
      <c r="F636" s="178"/>
      <c r="G636" s="178"/>
      <c r="H636" s="178"/>
      <c r="I636" s="178"/>
      <c r="J636" s="178"/>
      <c r="K636" s="178"/>
      <c r="L636" s="178"/>
      <c r="M636" s="178"/>
      <c r="N636" s="178"/>
      <c r="O636" s="178"/>
      <c r="P636" s="178"/>
      <c r="Q636" s="178"/>
      <c r="R636" s="178"/>
      <c r="S636" s="178"/>
      <c r="T636" s="178"/>
      <c r="X636" s="190"/>
    </row>
    <row r="637" spans="1:24" s="186" customFormat="1" ht="15">
      <c r="A637" s="72">
        <f>A634+1</f>
        <v>476</v>
      </c>
      <c r="B637" s="188" t="s">
        <v>21</v>
      </c>
      <c r="C637" s="92">
        <v>1964</v>
      </c>
      <c r="D637" s="95"/>
      <c r="E637" s="92" t="s">
        <v>94</v>
      </c>
      <c r="F637" s="95">
        <v>2</v>
      </c>
      <c r="G637" s="95">
        <v>2</v>
      </c>
      <c r="H637" s="97">
        <v>589</v>
      </c>
      <c r="I637" s="97">
        <v>512</v>
      </c>
      <c r="J637" s="97">
        <v>423</v>
      </c>
      <c r="K637" s="96">
        <v>23</v>
      </c>
      <c r="L637" s="97">
        <f>'виды работ  (2)'!C636</f>
        <v>106830</v>
      </c>
      <c r="M637" s="97">
        <v>0</v>
      </c>
      <c r="N637" s="97">
        <v>0</v>
      </c>
      <c r="O637" s="97">
        <v>0</v>
      </c>
      <c r="P637" s="97">
        <f>L637</f>
        <v>106830</v>
      </c>
      <c r="Q637" s="97">
        <f>L637/H637</f>
        <v>181.37521222410865</v>
      </c>
      <c r="R637" s="97">
        <v>42000</v>
      </c>
      <c r="S637" s="55" t="s">
        <v>843</v>
      </c>
      <c r="T637" s="92" t="s">
        <v>773</v>
      </c>
      <c r="X637" s="190"/>
    </row>
    <row r="638" spans="1:24" s="186" customFormat="1" ht="15">
      <c r="A638" s="95">
        <f>A637+1</f>
        <v>477</v>
      </c>
      <c r="B638" s="188" t="s">
        <v>20</v>
      </c>
      <c r="C638" s="92">
        <v>1962</v>
      </c>
      <c r="D638" s="95"/>
      <c r="E638" s="92" t="s">
        <v>94</v>
      </c>
      <c r="F638" s="95">
        <v>2</v>
      </c>
      <c r="G638" s="95">
        <v>2</v>
      </c>
      <c r="H638" s="97">
        <v>406</v>
      </c>
      <c r="I638" s="97">
        <v>406</v>
      </c>
      <c r="J638" s="97">
        <v>389.6</v>
      </c>
      <c r="K638" s="96">
        <v>29</v>
      </c>
      <c r="L638" s="97">
        <f>'виды работ  (2)'!C637</f>
        <v>91743</v>
      </c>
      <c r="M638" s="97">
        <v>0</v>
      </c>
      <c r="N638" s="97">
        <v>0</v>
      </c>
      <c r="O638" s="97">
        <v>0</v>
      </c>
      <c r="P638" s="97">
        <f>L638</f>
        <v>91743</v>
      </c>
      <c r="Q638" s="97">
        <f>L638/H638</f>
        <v>225.9679802955665</v>
      </c>
      <c r="R638" s="97">
        <v>42000</v>
      </c>
      <c r="S638" s="55" t="s">
        <v>843</v>
      </c>
      <c r="T638" s="92" t="s">
        <v>773</v>
      </c>
      <c r="X638" s="190"/>
    </row>
    <row r="639" spans="1:24" s="186" customFormat="1" ht="15">
      <c r="A639" s="95">
        <f>A638+1</f>
        <v>478</v>
      </c>
      <c r="B639" s="188" t="s">
        <v>22</v>
      </c>
      <c r="C639" s="92">
        <v>1940</v>
      </c>
      <c r="D639" s="95"/>
      <c r="E639" s="92" t="s">
        <v>465</v>
      </c>
      <c r="F639" s="95">
        <v>2</v>
      </c>
      <c r="G639" s="95">
        <v>5</v>
      </c>
      <c r="H639" s="97">
        <v>324</v>
      </c>
      <c r="I639" s="97">
        <v>298</v>
      </c>
      <c r="J639" s="97">
        <v>290</v>
      </c>
      <c r="K639" s="96">
        <v>14</v>
      </c>
      <c r="L639" s="97">
        <f>'виды работ  (2)'!C638</f>
        <v>265760</v>
      </c>
      <c r="M639" s="97">
        <v>0</v>
      </c>
      <c r="N639" s="97">
        <v>0</v>
      </c>
      <c r="O639" s="97">
        <v>0</v>
      </c>
      <c r="P639" s="97">
        <f>L639</f>
        <v>265760</v>
      </c>
      <c r="Q639" s="97">
        <f>L639/H639</f>
        <v>820.2469135802469</v>
      </c>
      <c r="R639" s="97">
        <v>42000</v>
      </c>
      <c r="S639" s="55" t="s">
        <v>843</v>
      </c>
      <c r="T639" s="92" t="s">
        <v>773</v>
      </c>
      <c r="X639" s="190"/>
    </row>
    <row r="640" spans="1:24" s="186" customFormat="1" ht="15">
      <c r="A640" s="117" t="s">
        <v>597</v>
      </c>
      <c r="B640" s="117"/>
      <c r="C640" s="86" t="s">
        <v>430</v>
      </c>
      <c r="D640" s="86" t="s">
        <v>430</v>
      </c>
      <c r="E640" s="86" t="s">
        <v>430</v>
      </c>
      <c r="F640" s="86" t="s">
        <v>430</v>
      </c>
      <c r="G640" s="86" t="s">
        <v>430</v>
      </c>
      <c r="H640" s="97">
        <f aca="true" t="shared" si="142" ref="H640:P640">SUM(H637:H639)</f>
        <v>1319</v>
      </c>
      <c r="I640" s="97">
        <f t="shared" si="142"/>
        <v>1216</v>
      </c>
      <c r="J640" s="97">
        <f t="shared" si="142"/>
        <v>1102.6</v>
      </c>
      <c r="K640" s="96">
        <f t="shared" si="142"/>
        <v>66</v>
      </c>
      <c r="L640" s="97">
        <f t="shared" si="142"/>
        <v>464333</v>
      </c>
      <c r="M640" s="97">
        <f t="shared" si="142"/>
        <v>0</v>
      </c>
      <c r="N640" s="97">
        <f t="shared" si="142"/>
        <v>0</v>
      </c>
      <c r="O640" s="97">
        <f t="shared" si="142"/>
        <v>0</v>
      </c>
      <c r="P640" s="97">
        <f t="shared" si="142"/>
        <v>464333</v>
      </c>
      <c r="Q640" s="97">
        <f>L640/H640</f>
        <v>352.0341167551175</v>
      </c>
      <c r="R640" s="56" t="s">
        <v>430</v>
      </c>
      <c r="S640" s="56" t="s">
        <v>430</v>
      </c>
      <c r="T640" s="56" t="s">
        <v>430</v>
      </c>
      <c r="U640" s="190"/>
      <c r="X640" s="190"/>
    </row>
    <row r="641" spans="1:24" s="186" customFormat="1" ht="15">
      <c r="A641" s="105" t="s">
        <v>657</v>
      </c>
      <c r="B641" s="110"/>
      <c r="C641" s="110"/>
      <c r="D641" s="110"/>
      <c r="E641" s="106"/>
      <c r="F641" s="178"/>
      <c r="G641" s="178"/>
      <c r="H641" s="178"/>
      <c r="I641" s="178"/>
      <c r="J641" s="178"/>
      <c r="K641" s="178"/>
      <c r="L641" s="178"/>
      <c r="M641" s="178"/>
      <c r="N641" s="178"/>
      <c r="O641" s="178"/>
      <c r="P641" s="178"/>
      <c r="Q641" s="178"/>
      <c r="R641" s="178"/>
      <c r="S641" s="178"/>
      <c r="T641" s="178"/>
      <c r="X641" s="190"/>
    </row>
    <row r="642" spans="1:24" s="186" customFormat="1" ht="15">
      <c r="A642" s="95">
        <f>A639+1</f>
        <v>479</v>
      </c>
      <c r="B642" s="188" t="s">
        <v>466</v>
      </c>
      <c r="C642" s="92">
        <v>1962</v>
      </c>
      <c r="D642" s="95"/>
      <c r="E642" s="92" t="s">
        <v>94</v>
      </c>
      <c r="F642" s="95">
        <v>2</v>
      </c>
      <c r="G642" s="95">
        <v>2</v>
      </c>
      <c r="H642" s="97">
        <v>449</v>
      </c>
      <c r="I642" s="97">
        <v>338</v>
      </c>
      <c r="J642" s="97">
        <v>111.1</v>
      </c>
      <c r="K642" s="96">
        <v>24</v>
      </c>
      <c r="L642" s="97">
        <f>'виды работ  (2)'!C641</f>
        <v>5017166</v>
      </c>
      <c r="M642" s="97">
        <v>0</v>
      </c>
      <c r="N642" s="97">
        <v>0</v>
      </c>
      <c r="O642" s="97">
        <v>0</v>
      </c>
      <c r="P642" s="97">
        <f>L642</f>
        <v>5017166</v>
      </c>
      <c r="Q642" s="97">
        <f>L642/H642</f>
        <v>11174.089086859689</v>
      </c>
      <c r="R642" s="97">
        <v>42000</v>
      </c>
      <c r="S642" s="55" t="s">
        <v>843</v>
      </c>
      <c r="T642" s="92" t="s">
        <v>773</v>
      </c>
      <c r="X642" s="190"/>
    </row>
    <row r="643" spans="1:24" s="186" customFormat="1" ht="15">
      <c r="A643" s="95">
        <f>A642+1</f>
        <v>480</v>
      </c>
      <c r="B643" s="188" t="s">
        <v>467</v>
      </c>
      <c r="C643" s="92">
        <v>1964</v>
      </c>
      <c r="D643" s="95"/>
      <c r="E643" s="92" t="s">
        <v>94</v>
      </c>
      <c r="F643" s="95">
        <v>2</v>
      </c>
      <c r="G643" s="95">
        <v>2</v>
      </c>
      <c r="H643" s="97">
        <v>611.2</v>
      </c>
      <c r="I643" s="97">
        <v>395</v>
      </c>
      <c r="J643" s="97">
        <v>354.7</v>
      </c>
      <c r="K643" s="96">
        <v>29</v>
      </c>
      <c r="L643" s="97">
        <f>'виды работ  (2)'!C642</f>
        <v>6521265</v>
      </c>
      <c r="M643" s="97">
        <v>0</v>
      </c>
      <c r="N643" s="97">
        <v>0</v>
      </c>
      <c r="O643" s="97">
        <v>0</v>
      </c>
      <c r="P643" s="97">
        <f>L643</f>
        <v>6521265</v>
      </c>
      <c r="Q643" s="97">
        <f>L643/H643</f>
        <v>10669.608965968586</v>
      </c>
      <c r="R643" s="97">
        <v>42000</v>
      </c>
      <c r="S643" s="55" t="s">
        <v>843</v>
      </c>
      <c r="T643" s="92" t="s">
        <v>773</v>
      </c>
      <c r="X643" s="190"/>
    </row>
    <row r="644" spans="1:24" s="186" customFormat="1" ht="15">
      <c r="A644" s="95">
        <f>A643+1</f>
        <v>481</v>
      </c>
      <c r="B644" s="188" t="s">
        <v>468</v>
      </c>
      <c r="C644" s="92">
        <v>1967</v>
      </c>
      <c r="D644" s="95"/>
      <c r="E644" s="92" t="s">
        <v>94</v>
      </c>
      <c r="F644" s="95">
        <v>2</v>
      </c>
      <c r="G644" s="95">
        <v>2</v>
      </c>
      <c r="H644" s="97">
        <v>622.2</v>
      </c>
      <c r="I644" s="97">
        <v>406.8</v>
      </c>
      <c r="J644" s="97">
        <v>282.4</v>
      </c>
      <c r="K644" s="96">
        <v>35</v>
      </c>
      <c r="L644" s="97">
        <f>'виды работ  (2)'!C643</f>
        <v>508743</v>
      </c>
      <c r="M644" s="97">
        <v>0</v>
      </c>
      <c r="N644" s="97">
        <v>0</v>
      </c>
      <c r="O644" s="97">
        <v>0</v>
      </c>
      <c r="P644" s="97">
        <f>L644</f>
        <v>508743</v>
      </c>
      <c r="Q644" s="97">
        <f>L644/H644</f>
        <v>817.6518804243008</v>
      </c>
      <c r="R644" s="97">
        <v>42000</v>
      </c>
      <c r="S644" s="55" t="s">
        <v>843</v>
      </c>
      <c r="T644" s="92" t="s">
        <v>773</v>
      </c>
      <c r="X644" s="190"/>
    </row>
    <row r="645" spans="1:24" s="186" customFormat="1" ht="15">
      <c r="A645" s="95">
        <f>A644+1</f>
        <v>482</v>
      </c>
      <c r="B645" s="188" t="s">
        <v>469</v>
      </c>
      <c r="C645" s="92">
        <v>1698</v>
      </c>
      <c r="D645" s="95"/>
      <c r="E645" s="92" t="s">
        <v>94</v>
      </c>
      <c r="F645" s="95">
        <v>2</v>
      </c>
      <c r="G645" s="95">
        <v>2</v>
      </c>
      <c r="H645" s="97">
        <v>629.6</v>
      </c>
      <c r="I645" s="97">
        <v>412</v>
      </c>
      <c r="J645" s="97">
        <v>339.3</v>
      </c>
      <c r="K645" s="96">
        <v>36</v>
      </c>
      <c r="L645" s="97">
        <f>'виды работ  (2)'!C644</f>
        <v>7044877</v>
      </c>
      <c r="M645" s="97">
        <v>0</v>
      </c>
      <c r="N645" s="97">
        <v>0</v>
      </c>
      <c r="O645" s="97">
        <v>0</v>
      </c>
      <c r="P645" s="97">
        <f>L645</f>
        <v>7044877</v>
      </c>
      <c r="Q645" s="97">
        <f>L645/H645</f>
        <v>11189.448856416771</v>
      </c>
      <c r="R645" s="97">
        <v>42000</v>
      </c>
      <c r="S645" s="55" t="s">
        <v>843</v>
      </c>
      <c r="T645" s="92" t="s">
        <v>773</v>
      </c>
      <c r="X645" s="190"/>
    </row>
    <row r="646" spans="1:24" s="186" customFormat="1" ht="15">
      <c r="A646" s="117" t="s">
        <v>597</v>
      </c>
      <c r="B646" s="117"/>
      <c r="C646" s="86" t="s">
        <v>430</v>
      </c>
      <c r="D646" s="86" t="s">
        <v>430</v>
      </c>
      <c r="E646" s="86" t="s">
        <v>430</v>
      </c>
      <c r="F646" s="86" t="s">
        <v>430</v>
      </c>
      <c r="G646" s="86" t="s">
        <v>430</v>
      </c>
      <c r="H646" s="97">
        <f>SUM(H642:H645)</f>
        <v>2312</v>
      </c>
      <c r="I646" s="97">
        <f aca="true" t="shared" si="143" ref="I646:P646">SUM(I642:I645)</f>
        <v>1551.8</v>
      </c>
      <c r="J646" s="97">
        <f t="shared" si="143"/>
        <v>1087.5</v>
      </c>
      <c r="K646" s="96">
        <f t="shared" si="143"/>
        <v>124</v>
      </c>
      <c r="L646" s="97">
        <f>SUM(L642:L645)</f>
        <v>19092051</v>
      </c>
      <c r="M646" s="97">
        <f t="shared" si="143"/>
        <v>0</v>
      </c>
      <c r="N646" s="97">
        <f t="shared" si="143"/>
        <v>0</v>
      </c>
      <c r="O646" s="97">
        <f t="shared" si="143"/>
        <v>0</v>
      </c>
      <c r="P646" s="97">
        <f t="shared" si="143"/>
        <v>19092051</v>
      </c>
      <c r="Q646" s="97">
        <f>L646/H646</f>
        <v>8257.807525951557</v>
      </c>
      <c r="R646" s="56" t="s">
        <v>430</v>
      </c>
      <c r="S646" s="56" t="s">
        <v>430</v>
      </c>
      <c r="T646" s="56" t="s">
        <v>430</v>
      </c>
      <c r="U646" s="190"/>
      <c r="X646" s="190"/>
    </row>
    <row r="647" spans="1:24" s="186" customFormat="1" ht="15">
      <c r="A647" s="105" t="s">
        <v>659</v>
      </c>
      <c r="B647" s="110"/>
      <c r="C647" s="110"/>
      <c r="D647" s="110"/>
      <c r="E647" s="106"/>
      <c r="F647" s="178"/>
      <c r="G647" s="178"/>
      <c r="H647" s="178"/>
      <c r="I647" s="178"/>
      <c r="J647" s="178"/>
      <c r="K647" s="178"/>
      <c r="L647" s="178"/>
      <c r="M647" s="178"/>
      <c r="N647" s="178"/>
      <c r="O647" s="178"/>
      <c r="P647" s="178"/>
      <c r="Q647" s="178"/>
      <c r="R647" s="178"/>
      <c r="S647" s="178"/>
      <c r="T647" s="178"/>
      <c r="X647" s="190"/>
    </row>
    <row r="648" spans="1:24" s="186" customFormat="1" ht="15">
      <c r="A648" s="95">
        <f>A645+1</f>
        <v>483</v>
      </c>
      <c r="B648" s="188" t="s">
        <v>470</v>
      </c>
      <c r="C648" s="92">
        <v>1985</v>
      </c>
      <c r="D648" s="95"/>
      <c r="E648" s="92" t="s">
        <v>94</v>
      </c>
      <c r="F648" s="95">
        <v>2</v>
      </c>
      <c r="G648" s="95">
        <v>2</v>
      </c>
      <c r="H648" s="97">
        <v>720.41</v>
      </c>
      <c r="I648" s="97">
        <v>720.41</v>
      </c>
      <c r="J648" s="97">
        <v>419.02</v>
      </c>
      <c r="K648" s="96">
        <v>31</v>
      </c>
      <c r="L648" s="97">
        <f>'виды работ  (2)'!C647</f>
        <v>1849278</v>
      </c>
      <c r="M648" s="97">
        <v>0</v>
      </c>
      <c r="N648" s="97">
        <v>0</v>
      </c>
      <c r="O648" s="97">
        <v>0</v>
      </c>
      <c r="P648" s="97">
        <f>L648</f>
        <v>1849278</v>
      </c>
      <c r="Q648" s="97">
        <f>L648/H648</f>
        <v>2566.979914215516</v>
      </c>
      <c r="R648" s="97">
        <v>42000</v>
      </c>
      <c r="S648" s="55" t="s">
        <v>843</v>
      </c>
      <c r="T648" s="92" t="s">
        <v>773</v>
      </c>
      <c r="X648" s="190"/>
    </row>
    <row r="649" spans="1:24" s="186" customFormat="1" ht="15">
      <c r="A649" s="95">
        <f>A648+1</f>
        <v>484</v>
      </c>
      <c r="B649" s="188" t="s">
        <v>471</v>
      </c>
      <c r="C649" s="92">
        <v>1973</v>
      </c>
      <c r="D649" s="95"/>
      <c r="E649" s="95" t="s">
        <v>442</v>
      </c>
      <c r="F649" s="95">
        <v>5</v>
      </c>
      <c r="G649" s="95">
        <v>6</v>
      </c>
      <c r="H649" s="97">
        <v>4462.69</v>
      </c>
      <c r="I649" s="97">
        <v>4462.69</v>
      </c>
      <c r="J649" s="97">
        <v>3082.27</v>
      </c>
      <c r="K649" s="96">
        <v>196</v>
      </c>
      <c r="L649" s="97">
        <f>'виды работ  (2)'!C648</f>
        <v>3749636</v>
      </c>
      <c r="M649" s="97">
        <v>0</v>
      </c>
      <c r="N649" s="97">
        <v>0</v>
      </c>
      <c r="O649" s="97">
        <v>0</v>
      </c>
      <c r="P649" s="97">
        <f>L649</f>
        <v>3749636</v>
      </c>
      <c r="Q649" s="97">
        <f>L649/H649</f>
        <v>840.2187918049428</v>
      </c>
      <c r="R649" s="97">
        <v>42000</v>
      </c>
      <c r="S649" s="55" t="s">
        <v>843</v>
      </c>
      <c r="T649" s="92" t="s">
        <v>773</v>
      </c>
      <c r="X649" s="190"/>
    </row>
    <row r="650" spans="1:24" s="186" customFormat="1" ht="15">
      <c r="A650" s="117" t="s">
        <v>597</v>
      </c>
      <c r="B650" s="117"/>
      <c r="C650" s="86" t="s">
        <v>430</v>
      </c>
      <c r="D650" s="86" t="s">
        <v>430</v>
      </c>
      <c r="E650" s="86" t="s">
        <v>430</v>
      </c>
      <c r="F650" s="86" t="s">
        <v>430</v>
      </c>
      <c r="G650" s="86" t="s">
        <v>430</v>
      </c>
      <c r="H650" s="97">
        <f aca="true" t="shared" si="144" ref="H650:P650">SUM(H648:H649)</f>
        <v>5183.099999999999</v>
      </c>
      <c r="I650" s="97">
        <f t="shared" si="144"/>
        <v>5183.099999999999</v>
      </c>
      <c r="J650" s="97">
        <f t="shared" si="144"/>
        <v>3501.29</v>
      </c>
      <c r="K650" s="96">
        <f t="shared" si="144"/>
        <v>227</v>
      </c>
      <c r="L650" s="97">
        <f t="shared" si="144"/>
        <v>5598914</v>
      </c>
      <c r="M650" s="97">
        <f t="shared" si="144"/>
        <v>0</v>
      </c>
      <c r="N650" s="97">
        <f t="shared" si="144"/>
        <v>0</v>
      </c>
      <c r="O650" s="97">
        <f t="shared" si="144"/>
        <v>0</v>
      </c>
      <c r="P650" s="97">
        <f t="shared" si="144"/>
        <v>5598914</v>
      </c>
      <c r="Q650" s="97">
        <f>L650/H650</f>
        <v>1080.2249618953908</v>
      </c>
      <c r="R650" s="97">
        <v>42000</v>
      </c>
      <c r="S650" s="55" t="s">
        <v>843</v>
      </c>
      <c r="T650" s="92" t="s">
        <v>773</v>
      </c>
      <c r="U650" s="190"/>
      <c r="X650" s="190"/>
    </row>
    <row r="651" spans="1:24" s="186" customFormat="1" ht="15">
      <c r="A651" s="140" t="s">
        <v>660</v>
      </c>
      <c r="B651" s="140"/>
      <c r="C651" s="140"/>
      <c r="D651" s="81" t="s">
        <v>430</v>
      </c>
      <c r="E651" s="81" t="s">
        <v>430</v>
      </c>
      <c r="F651" s="81" t="s">
        <v>430</v>
      </c>
      <c r="G651" s="81" t="s">
        <v>430</v>
      </c>
      <c r="H651" s="97">
        <f>H650+H646+H640+H635+H629</f>
        <v>14179.779999999999</v>
      </c>
      <c r="I651" s="97">
        <f aca="true" t="shared" si="145" ref="I651:P651">I650+I646+I640+I635+I629</f>
        <v>12335.66</v>
      </c>
      <c r="J651" s="97">
        <f t="shared" si="145"/>
        <v>8939.16</v>
      </c>
      <c r="K651" s="96">
        <f t="shared" si="145"/>
        <v>677</v>
      </c>
      <c r="L651" s="97">
        <f t="shared" si="145"/>
        <v>50791795</v>
      </c>
      <c r="M651" s="97">
        <f t="shared" si="145"/>
        <v>0</v>
      </c>
      <c r="N651" s="97">
        <f t="shared" si="145"/>
        <v>0</v>
      </c>
      <c r="O651" s="97">
        <f t="shared" si="145"/>
        <v>0</v>
      </c>
      <c r="P651" s="97">
        <f t="shared" si="145"/>
        <v>50791795</v>
      </c>
      <c r="Q651" s="97">
        <f>L651/H651</f>
        <v>3581.9875202577196</v>
      </c>
      <c r="R651" s="56" t="s">
        <v>430</v>
      </c>
      <c r="S651" s="56" t="s">
        <v>430</v>
      </c>
      <c r="T651" s="56" t="s">
        <v>430</v>
      </c>
      <c r="U651" s="190"/>
      <c r="X651" s="190"/>
    </row>
    <row r="652" spans="1:24" s="186" customFormat="1" ht="15">
      <c r="A652" s="223" t="s">
        <v>661</v>
      </c>
      <c r="B652" s="224"/>
      <c r="C652" s="224"/>
      <c r="D652" s="224"/>
      <c r="E652" s="224"/>
      <c r="F652" s="224"/>
      <c r="G652" s="224"/>
      <c r="H652" s="224"/>
      <c r="I652" s="224"/>
      <c r="J652" s="224"/>
      <c r="K652" s="224"/>
      <c r="L652" s="224"/>
      <c r="M652" s="224"/>
      <c r="N652" s="224"/>
      <c r="O652" s="224"/>
      <c r="P652" s="224"/>
      <c r="Q652" s="224"/>
      <c r="R652" s="224"/>
      <c r="S652" s="224"/>
      <c r="T652" s="225"/>
      <c r="X652" s="190"/>
    </row>
    <row r="653" spans="1:24" s="43" customFormat="1" ht="15.75" customHeight="1">
      <c r="A653" s="140" t="s">
        <v>764</v>
      </c>
      <c r="B653" s="140"/>
      <c r="C653" s="140"/>
      <c r="D653" s="140"/>
      <c r="E653" s="140"/>
      <c r="F653" s="163"/>
      <c r="G653" s="163"/>
      <c r="H653" s="163"/>
      <c r="I653" s="163"/>
      <c r="J653" s="163"/>
      <c r="K653" s="163"/>
      <c r="L653" s="163"/>
      <c r="M653" s="163"/>
      <c r="N653" s="163"/>
      <c r="O653" s="163"/>
      <c r="P653" s="163"/>
      <c r="Q653" s="163"/>
      <c r="R653" s="163"/>
      <c r="S653" s="163"/>
      <c r="T653" s="163"/>
      <c r="X653" s="190"/>
    </row>
    <row r="654" spans="1:24" s="43" customFormat="1" ht="15">
      <c r="A654" s="96">
        <f>A649+1</f>
        <v>485</v>
      </c>
      <c r="B654" s="88" t="s">
        <v>851</v>
      </c>
      <c r="C654" s="72">
        <v>1969</v>
      </c>
      <c r="D654" s="96"/>
      <c r="E654" s="92" t="s">
        <v>94</v>
      </c>
      <c r="F654" s="96">
        <v>2</v>
      </c>
      <c r="G654" s="96">
        <v>2</v>
      </c>
      <c r="H654" s="97">
        <v>1540.26</v>
      </c>
      <c r="I654" s="97">
        <v>732.2</v>
      </c>
      <c r="J654" s="97">
        <v>687.8</v>
      </c>
      <c r="K654" s="96">
        <v>21</v>
      </c>
      <c r="L654" s="97">
        <f>'виды работ  (2)'!C653</f>
        <v>1057555</v>
      </c>
      <c r="M654" s="86">
        <v>0</v>
      </c>
      <c r="N654" s="86">
        <v>0</v>
      </c>
      <c r="O654" s="86">
        <v>0</v>
      </c>
      <c r="P654" s="86">
        <f>L654</f>
        <v>1057555</v>
      </c>
      <c r="Q654" s="86">
        <f>L654/H654</f>
        <v>686.6081051251088</v>
      </c>
      <c r="R654" s="97">
        <v>42000</v>
      </c>
      <c r="S654" s="55" t="s">
        <v>843</v>
      </c>
      <c r="T654" s="92" t="s">
        <v>773</v>
      </c>
      <c r="X654" s="190"/>
    </row>
    <row r="655" spans="1:24" s="43" customFormat="1" ht="15">
      <c r="A655" s="117" t="s">
        <v>597</v>
      </c>
      <c r="B655" s="117"/>
      <c r="C655" s="86" t="s">
        <v>430</v>
      </c>
      <c r="D655" s="86" t="s">
        <v>430</v>
      </c>
      <c r="E655" s="86" t="s">
        <v>430</v>
      </c>
      <c r="F655" s="86" t="s">
        <v>430</v>
      </c>
      <c r="G655" s="86" t="s">
        <v>430</v>
      </c>
      <c r="H655" s="97">
        <f aca="true" t="shared" si="146" ref="H655:Q655">SUM(H654:H654)</f>
        <v>1540.26</v>
      </c>
      <c r="I655" s="97">
        <f t="shared" si="146"/>
        <v>732.2</v>
      </c>
      <c r="J655" s="97">
        <f t="shared" si="146"/>
        <v>687.8</v>
      </c>
      <c r="K655" s="96">
        <f t="shared" si="146"/>
        <v>21</v>
      </c>
      <c r="L655" s="97">
        <f t="shared" si="146"/>
        <v>1057555</v>
      </c>
      <c r="M655" s="97">
        <f t="shared" si="146"/>
        <v>0</v>
      </c>
      <c r="N655" s="97">
        <f t="shared" si="146"/>
        <v>0</v>
      </c>
      <c r="O655" s="97">
        <f t="shared" si="146"/>
        <v>0</v>
      </c>
      <c r="P655" s="97">
        <f t="shared" si="146"/>
        <v>1057555</v>
      </c>
      <c r="Q655" s="97">
        <f t="shared" si="146"/>
        <v>686.6081051251088</v>
      </c>
      <c r="R655" s="56" t="s">
        <v>430</v>
      </c>
      <c r="S655" s="56" t="s">
        <v>430</v>
      </c>
      <c r="T655" s="56" t="s">
        <v>430</v>
      </c>
      <c r="U655" s="190"/>
      <c r="X655" s="190"/>
    </row>
    <row r="656" spans="1:24" s="186" customFormat="1" ht="15">
      <c r="A656" s="165" t="s">
        <v>697</v>
      </c>
      <c r="B656" s="166"/>
      <c r="C656" s="167"/>
      <c r="D656" s="167"/>
      <c r="E656" s="168"/>
      <c r="F656" s="218"/>
      <c r="G656" s="218"/>
      <c r="H656" s="218"/>
      <c r="I656" s="218"/>
      <c r="J656" s="218"/>
      <c r="K656" s="218"/>
      <c r="L656" s="178"/>
      <c r="M656" s="178"/>
      <c r="N656" s="178"/>
      <c r="O656" s="178"/>
      <c r="P656" s="178"/>
      <c r="Q656" s="178"/>
      <c r="R656" s="178"/>
      <c r="S656" s="178"/>
      <c r="T656" s="178"/>
      <c r="X656" s="190"/>
    </row>
    <row r="657" spans="1:24" s="186" customFormat="1" ht="15">
      <c r="A657" s="96">
        <f>A654+1</f>
        <v>486</v>
      </c>
      <c r="B657" s="228" t="s">
        <v>506</v>
      </c>
      <c r="C657" s="92">
        <v>1987</v>
      </c>
      <c r="D657" s="92"/>
      <c r="E657" s="95" t="s">
        <v>442</v>
      </c>
      <c r="F657" s="92">
        <v>3</v>
      </c>
      <c r="G657" s="92">
        <v>3</v>
      </c>
      <c r="H657" s="86">
        <v>2793.4</v>
      </c>
      <c r="I657" s="86">
        <v>2793.4</v>
      </c>
      <c r="J657" s="86">
        <v>1829.4</v>
      </c>
      <c r="K657" s="10">
        <v>84</v>
      </c>
      <c r="L657" s="220">
        <f>'виды работ  (2)'!C656</f>
        <v>6931339</v>
      </c>
      <c r="M657" s="97">
        <v>0</v>
      </c>
      <c r="N657" s="97">
        <v>0</v>
      </c>
      <c r="O657" s="97">
        <v>0</v>
      </c>
      <c r="P657" s="97">
        <f>L657</f>
        <v>6931339</v>
      </c>
      <c r="Q657" s="97">
        <f>L657/H657</f>
        <v>2481.327056633493</v>
      </c>
      <c r="R657" s="97">
        <v>42000</v>
      </c>
      <c r="S657" s="55" t="s">
        <v>843</v>
      </c>
      <c r="T657" s="92" t="s">
        <v>773</v>
      </c>
      <c r="X657" s="190"/>
    </row>
    <row r="658" spans="1:24" s="186" customFormat="1" ht="15">
      <c r="A658" s="117" t="s">
        <v>597</v>
      </c>
      <c r="B658" s="138"/>
      <c r="C658" s="86" t="s">
        <v>430</v>
      </c>
      <c r="D658" s="86" t="s">
        <v>430</v>
      </c>
      <c r="E658" s="86" t="s">
        <v>430</v>
      </c>
      <c r="F658" s="86" t="s">
        <v>430</v>
      </c>
      <c r="G658" s="86" t="s">
        <v>430</v>
      </c>
      <c r="H658" s="97">
        <f>SUM(H657)</f>
        <v>2793.4</v>
      </c>
      <c r="I658" s="97">
        <f aca="true" t="shared" si="147" ref="I658:P658">SUM(I657)</f>
        <v>2793.4</v>
      </c>
      <c r="J658" s="97">
        <f t="shared" si="147"/>
        <v>1829.4</v>
      </c>
      <c r="K658" s="96">
        <f t="shared" si="147"/>
        <v>84</v>
      </c>
      <c r="L658" s="220">
        <f t="shared" si="147"/>
        <v>6931339</v>
      </c>
      <c r="M658" s="97">
        <f t="shared" si="147"/>
        <v>0</v>
      </c>
      <c r="N658" s="97">
        <f t="shared" si="147"/>
        <v>0</v>
      </c>
      <c r="O658" s="97">
        <f t="shared" si="147"/>
        <v>0</v>
      </c>
      <c r="P658" s="97">
        <f t="shared" si="147"/>
        <v>6931339</v>
      </c>
      <c r="Q658" s="97">
        <f>L658/H658</f>
        <v>2481.327056633493</v>
      </c>
      <c r="R658" s="56" t="s">
        <v>430</v>
      </c>
      <c r="S658" s="56" t="s">
        <v>430</v>
      </c>
      <c r="T658" s="56" t="s">
        <v>430</v>
      </c>
      <c r="U658" s="190"/>
      <c r="X658" s="190"/>
    </row>
    <row r="659" spans="1:24" s="186" customFormat="1" ht="15">
      <c r="A659" s="165" t="s">
        <v>662</v>
      </c>
      <c r="B659" s="166"/>
      <c r="C659" s="183"/>
      <c r="D659" s="183"/>
      <c r="E659" s="184"/>
      <c r="F659" s="229"/>
      <c r="G659" s="229"/>
      <c r="H659" s="229"/>
      <c r="I659" s="229"/>
      <c r="J659" s="229"/>
      <c r="K659" s="229"/>
      <c r="L659" s="178"/>
      <c r="M659" s="178"/>
      <c r="N659" s="178"/>
      <c r="O659" s="178"/>
      <c r="P659" s="178"/>
      <c r="Q659" s="178"/>
      <c r="R659" s="178"/>
      <c r="S659" s="178"/>
      <c r="T659" s="178"/>
      <c r="X659" s="190"/>
    </row>
    <row r="660" spans="1:24" s="186" customFormat="1" ht="15">
      <c r="A660" s="10">
        <f>A657+1</f>
        <v>487</v>
      </c>
      <c r="B660" s="188" t="s">
        <v>493</v>
      </c>
      <c r="C660" s="230">
        <v>1971</v>
      </c>
      <c r="D660" s="231"/>
      <c r="E660" s="92" t="s">
        <v>94</v>
      </c>
      <c r="F660" s="231">
        <v>5</v>
      </c>
      <c r="G660" s="231">
        <v>4</v>
      </c>
      <c r="H660" s="232">
        <v>4592.61</v>
      </c>
      <c r="I660" s="232">
        <v>4592.61</v>
      </c>
      <c r="J660" s="232">
        <v>3394.2</v>
      </c>
      <c r="K660" s="233">
        <v>165</v>
      </c>
      <c r="L660" s="97">
        <f>'виды работ  (2)'!C659</f>
        <v>238004</v>
      </c>
      <c r="M660" s="97">
        <v>0</v>
      </c>
      <c r="N660" s="97">
        <v>0</v>
      </c>
      <c r="O660" s="97">
        <v>0</v>
      </c>
      <c r="P660" s="97">
        <f>L660</f>
        <v>238004</v>
      </c>
      <c r="Q660" s="97">
        <f>L660/H660</f>
        <v>51.8232551860489</v>
      </c>
      <c r="R660" s="97">
        <v>42000</v>
      </c>
      <c r="S660" s="55" t="s">
        <v>843</v>
      </c>
      <c r="T660" s="92" t="s">
        <v>842</v>
      </c>
      <c r="X660" s="190"/>
    </row>
    <row r="661" spans="1:24" s="186" customFormat="1" ht="15">
      <c r="A661" s="96">
        <f>A660+1</f>
        <v>488</v>
      </c>
      <c r="B661" s="188" t="s">
        <v>472</v>
      </c>
      <c r="C661" s="92">
        <v>1945</v>
      </c>
      <c r="D661" s="95"/>
      <c r="E661" s="92" t="s">
        <v>94</v>
      </c>
      <c r="F661" s="95">
        <v>2</v>
      </c>
      <c r="G661" s="95">
        <v>4</v>
      </c>
      <c r="H661" s="97">
        <v>1065.9</v>
      </c>
      <c r="I661" s="97">
        <v>663.9</v>
      </c>
      <c r="J661" s="97">
        <v>595.44</v>
      </c>
      <c r="K661" s="96">
        <v>38</v>
      </c>
      <c r="L661" s="97">
        <f>'виды работ  (2)'!C660</f>
        <v>112916</v>
      </c>
      <c r="M661" s="97">
        <v>0</v>
      </c>
      <c r="N661" s="97">
        <v>0</v>
      </c>
      <c r="O661" s="97">
        <v>0</v>
      </c>
      <c r="P661" s="97">
        <f>L661</f>
        <v>112916</v>
      </c>
      <c r="Q661" s="97">
        <f>L661/H661</f>
        <v>105.93489070269256</v>
      </c>
      <c r="R661" s="97">
        <v>42000</v>
      </c>
      <c r="S661" s="55" t="s">
        <v>843</v>
      </c>
      <c r="T661" s="92" t="s">
        <v>773</v>
      </c>
      <c r="X661" s="190"/>
    </row>
    <row r="662" spans="1:24" s="186" customFormat="1" ht="15">
      <c r="A662" s="96">
        <f>A661+1</f>
        <v>489</v>
      </c>
      <c r="B662" s="188" t="s">
        <v>486</v>
      </c>
      <c r="C662" s="92">
        <v>1972</v>
      </c>
      <c r="D662" s="95"/>
      <c r="E662" s="92" t="s">
        <v>94</v>
      </c>
      <c r="F662" s="95">
        <v>2</v>
      </c>
      <c r="G662" s="95">
        <v>2</v>
      </c>
      <c r="H662" s="97">
        <v>864.4</v>
      </c>
      <c r="I662" s="97">
        <v>811.04</v>
      </c>
      <c r="J662" s="97">
        <v>737.04</v>
      </c>
      <c r="K662" s="96">
        <v>25</v>
      </c>
      <c r="L662" s="97">
        <f>'виды работ  (2)'!C661</f>
        <v>848705</v>
      </c>
      <c r="M662" s="97">
        <v>0</v>
      </c>
      <c r="N662" s="97">
        <v>0</v>
      </c>
      <c r="O662" s="97">
        <v>0</v>
      </c>
      <c r="P662" s="97">
        <f aca="true" t="shared" si="148" ref="P662:P694">L662</f>
        <v>848705</v>
      </c>
      <c r="Q662" s="97">
        <f aca="true" t="shared" si="149" ref="Q662:Q695">L662/H662</f>
        <v>981.8428968070338</v>
      </c>
      <c r="R662" s="97">
        <v>42000</v>
      </c>
      <c r="S662" s="55" t="s">
        <v>843</v>
      </c>
      <c r="T662" s="92" t="s">
        <v>773</v>
      </c>
      <c r="X662" s="190"/>
    </row>
    <row r="663" spans="1:24" s="186" customFormat="1" ht="15">
      <c r="A663" s="96">
        <f>A662+1</f>
        <v>490</v>
      </c>
      <c r="B663" s="188" t="s">
        <v>473</v>
      </c>
      <c r="C663" s="92">
        <v>1965</v>
      </c>
      <c r="D663" s="95"/>
      <c r="E663" s="95" t="s">
        <v>442</v>
      </c>
      <c r="F663" s="95">
        <v>5</v>
      </c>
      <c r="G663" s="95">
        <v>4</v>
      </c>
      <c r="H663" s="97">
        <v>3349.78</v>
      </c>
      <c r="I663" s="97">
        <v>2109.09</v>
      </c>
      <c r="J663" s="97">
        <v>2016.7900000000002</v>
      </c>
      <c r="K663" s="96">
        <v>155</v>
      </c>
      <c r="L663" s="97">
        <f>'виды работ  (2)'!C662</f>
        <v>177799</v>
      </c>
      <c r="M663" s="97">
        <v>0</v>
      </c>
      <c r="N663" s="97">
        <v>0</v>
      </c>
      <c r="O663" s="97">
        <v>0</v>
      </c>
      <c r="P663" s="97">
        <f t="shared" si="148"/>
        <v>177799</v>
      </c>
      <c r="Q663" s="97">
        <f t="shared" si="149"/>
        <v>53.077814065401306</v>
      </c>
      <c r="R663" s="97">
        <v>42000</v>
      </c>
      <c r="S663" s="55" t="s">
        <v>843</v>
      </c>
      <c r="T663" s="92" t="s">
        <v>773</v>
      </c>
      <c r="X663" s="190"/>
    </row>
    <row r="664" spans="1:24" s="186" customFormat="1" ht="19.5" customHeight="1">
      <c r="A664" s="96">
        <f>A663+1</f>
        <v>491</v>
      </c>
      <c r="B664" s="188" t="s">
        <v>474</v>
      </c>
      <c r="C664" s="92">
        <v>1965</v>
      </c>
      <c r="D664" s="95"/>
      <c r="E664" s="92" t="s">
        <v>94</v>
      </c>
      <c r="F664" s="95">
        <v>5</v>
      </c>
      <c r="G664" s="95">
        <v>4</v>
      </c>
      <c r="H664" s="97">
        <v>3694</v>
      </c>
      <c r="I664" s="97">
        <v>2143</v>
      </c>
      <c r="J664" s="97">
        <v>2069.1</v>
      </c>
      <c r="K664" s="96">
        <v>145</v>
      </c>
      <c r="L664" s="97">
        <f>'виды работ  (2)'!C663</f>
        <v>183326</v>
      </c>
      <c r="M664" s="97">
        <v>0</v>
      </c>
      <c r="N664" s="97">
        <v>0</v>
      </c>
      <c r="O664" s="97">
        <v>0</v>
      </c>
      <c r="P664" s="97">
        <f t="shared" si="148"/>
        <v>183326</v>
      </c>
      <c r="Q664" s="97">
        <f t="shared" si="149"/>
        <v>49.62804547915539</v>
      </c>
      <c r="R664" s="97">
        <v>42000</v>
      </c>
      <c r="S664" s="55" t="s">
        <v>843</v>
      </c>
      <c r="T664" s="92" t="s">
        <v>773</v>
      </c>
      <c r="X664" s="190"/>
    </row>
    <row r="665" spans="1:24" s="186" customFormat="1" ht="15">
      <c r="A665" s="10">
        <f aca="true" t="shared" si="150" ref="A665:A694">A664+1</f>
        <v>492</v>
      </c>
      <c r="B665" s="188" t="s">
        <v>490</v>
      </c>
      <c r="C665" s="92">
        <v>1960</v>
      </c>
      <c r="D665" s="95"/>
      <c r="E665" s="92" t="s">
        <v>94</v>
      </c>
      <c r="F665" s="95">
        <v>3</v>
      </c>
      <c r="G665" s="95">
        <v>3</v>
      </c>
      <c r="H665" s="97">
        <v>2395.21</v>
      </c>
      <c r="I665" s="97">
        <v>1593.04</v>
      </c>
      <c r="J665" s="97">
        <v>1484.5</v>
      </c>
      <c r="K665" s="96">
        <v>54</v>
      </c>
      <c r="L665" s="97">
        <f>'виды работ  (2)'!C664</f>
        <v>3738492</v>
      </c>
      <c r="M665" s="97">
        <v>0</v>
      </c>
      <c r="N665" s="97">
        <v>0</v>
      </c>
      <c r="O665" s="97">
        <v>0</v>
      </c>
      <c r="P665" s="97">
        <f t="shared" si="148"/>
        <v>3738492</v>
      </c>
      <c r="Q665" s="97">
        <f t="shared" si="149"/>
        <v>1560.820136856476</v>
      </c>
      <c r="R665" s="97">
        <v>42000</v>
      </c>
      <c r="S665" s="55" t="s">
        <v>843</v>
      </c>
      <c r="T665" s="92" t="s">
        <v>773</v>
      </c>
      <c r="X665" s="190"/>
    </row>
    <row r="666" spans="1:24" s="186" customFormat="1" ht="15">
      <c r="A666" s="10">
        <f t="shared" si="150"/>
        <v>493</v>
      </c>
      <c r="B666" s="188" t="s">
        <v>494</v>
      </c>
      <c r="C666" s="92">
        <v>1961</v>
      </c>
      <c r="D666" s="95"/>
      <c r="E666" s="92" t="s">
        <v>94</v>
      </c>
      <c r="F666" s="95">
        <v>3</v>
      </c>
      <c r="G666" s="95">
        <v>2</v>
      </c>
      <c r="H666" s="97">
        <v>1411.82</v>
      </c>
      <c r="I666" s="97">
        <v>639.55</v>
      </c>
      <c r="J666" s="97">
        <v>565.75</v>
      </c>
      <c r="K666" s="96">
        <v>38</v>
      </c>
      <c r="L666" s="97">
        <f>'виды работ  (2)'!C665</f>
        <v>119763</v>
      </c>
      <c r="M666" s="97">
        <v>0</v>
      </c>
      <c r="N666" s="97">
        <v>0</v>
      </c>
      <c r="O666" s="97">
        <v>0</v>
      </c>
      <c r="P666" s="97">
        <f t="shared" si="148"/>
        <v>119763</v>
      </c>
      <c r="Q666" s="97">
        <f t="shared" si="149"/>
        <v>84.82880253856725</v>
      </c>
      <c r="R666" s="97">
        <v>42000</v>
      </c>
      <c r="S666" s="55" t="s">
        <v>843</v>
      </c>
      <c r="T666" s="92" t="s">
        <v>773</v>
      </c>
      <c r="X666" s="190"/>
    </row>
    <row r="667" spans="1:24" s="43" customFormat="1" ht="15">
      <c r="A667" s="10">
        <f t="shared" si="150"/>
        <v>494</v>
      </c>
      <c r="B667" s="59" t="s">
        <v>495</v>
      </c>
      <c r="C667" s="39">
        <v>1951</v>
      </c>
      <c r="D667" s="96"/>
      <c r="E667" s="92" t="s">
        <v>94</v>
      </c>
      <c r="F667" s="96">
        <v>2</v>
      </c>
      <c r="G667" s="96">
        <v>3</v>
      </c>
      <c r="H667" s="97">
        <v>1019.3</v>
      </c>
      <c r="I667" s="97">
        <v>935.3</v>
      </c>
      <c r="J667" s="97">
        <v>918.8</v>
      </c>
      <c r="K667" s="10">
        <v>31</v>
      </c>
      <c r="L667" s="97">
        <f>'виды работ  (2)'!C666</f>
        <v>1038622</v>
      </c>
      <c r="M667" s="86">
        <v>0</v>
      </c>
      <c r="N667" s="86">
        <v>0</v>
      </c>
      <c r="O667" s="86">
        <v>0</v>
      </c>
      <c r="P667" s="86">
        <f>L667</f>
        <v>1038622</v>
      </c>
      <c r="Q667" s="86">
        <f t="shared" si="149"/>
        <v>1018.9561463749633</v>
      </c>
      <c r="R667" s="97">
        <v>42000</v>
      </c>
      <c r="S667" s="55" t="s">
        <v>843</v>
      </c>
      <c r="T667" s="92" t="s">
        <v>773</v>
      </c>
      <c r="X667" s="190"/>
    </row>
    <row r="668" spans="1:24" s="43" customFormat="1" ht="15">
      <c r="A668" s="10">
        <f t="shared" si="150"/>
        <v>495</v>
      </c>
      <c r="B668" s="88" t="s">
        <v>475</v>
      </c>
      <c r="C668" s="39">
        <v>1957</v>
      </c>
      <c r="D668" s="96"/>
      <c r="E668" s="92" t="s">
        <v>94</v>
      </c>
      <c r="F668" s="96">
        <v>2</v>
      </c>
      <c r="G668" s="96">
        <v>3</v>
      </c>
      <c r="H668" s="97">
        <v>1069</v>
      </c>
      <c r="I668" s="97">
        <v>985.7</v>
      </c>
      <c r="J668" s="97">
        <v>942.1</v>
      </c>
      <c r="K668" s="10">
        <v>25</v>
      </c>
      <c r="L668" s="97">
        <f>'виды работ  (2)'!C667</f>
        <v>1032217</v>
      </c>
      <c r="M668" s="86">
        <v>0</v>
      </c>
      <c r="N668" s="86">
        <v>0</v>
      </c>
      <c r="O668" s="86">
        <v>0</v>
      </c>
      <c r="P668" s="86">
        <f>L668</f>
        <v>1032217</v>
      </c>
      <c r="Q668" s="86">
        <f t="shared" si="149"/>
        <v>965.5912067352666</v>
      </c>
      <c r="R668" s="97">
        <v>42000</v>
      </c>
      <c r="S668" s="55" t="s">
        <v>843</v>
      </c>
      <c r="T668" s="92" t="s">
        <v>773</v>
      </c>
      <c r="X668" s="190"/>
    </row>
    <row r="669" spans="1:24" s="186" customFormat="1" ht="15">
      <c r="A669" s="10">
        <f t="shared" si="150"/>
        <v>496</v>
      </c>
      <c r="B669" s="188" t="s">
        <v>496</v>
      </c>
      <c r="C669" s="92">
        <v>1961</v>
      </c>
      <c r="D669" s="95"/>
      <c r="E669" s="92" t="s">
        <v>94</v>
      </c>
      <c r="F669" s="95">
        <v>3</v>
      </c>
      <c r="G669" s="95">
        <v>3</v>
      </c>
      <c r="H669" s="97">
        <v>1485.5</v>
      </c>
      <c r="I669" s="97">
        <v>908.4</v>
      </c>
      <c r="J669" s="97">
        <v>816.5</v>
      </c>
      <c r="K669" s="96">
        <v>56</v>
      </c>
      <c r="L669" s="97">
        <f>'виды работ  (2)'!C668</f>
        <v>10881977</v>
      </c>
      <c r="M669" s="97">
        <v>0</v>
      </c>
      <c r="N669" s="97">
        <v>0</v>
      </c>
      <c r="O669" s="97">
        <v>0</v>
      </c>
      <c r="P669" s="97">
        <f t="shared" si="148"/>
        <v>10881977</v>
      </c>
      <c r="Q669" s="97">
        <f t="shared" si="149"/>
        <v>7325.464153483676</v>
      </c>
      <c r="R669" s="97">
        <v>42000</v>
      </c>
      <c r="S669" s="55" t="s">
        <v>843</v>
      </c>
      <c r="T669" s="92" t="s">
        <v>773</v>
      </c>
      <c r="X669" s="190"/>
    </row>
    <row r="670" spans="1:24" s="43" customFormat="1" ht="15">
      <c r="A670" s="10">
        <f t="shared" si="150"/>
        <v>497</v>
      </c>
      <c r="B670" s="59" t="s">
        <v>476</v>
      </c>
      <c r="C670" s="39">
        <v>1952</v>
      </c>
      <c r="D670" s="96"/>
      <c r="E670" s="92" t="s">
        <v>94</v>
      </c>
      <c r="F670" s="96">
        <v>2</v>
      </c>
      <c r="G670" s="96">
        <v>1</v>
      </c>
      <c r="H670" s="97">
        <v>548.5</v>
      </c>
      <c r="I670" s="97">
        <v>503.5</v>
      </c>
      <c r="J670" s="97">
        <v>503.5</v>
      </c>
      <c r="K670" s="10">
        <v>14</v>
      </c>
      <c r="L670" s="97">
        <f>'виды работ  (2)'!C669</f>
        <v>738960</v>
      </c>
      <c r="M670" s="86">
        <v>0</v>
      </c>
      <c r="N670" s="86">
        <v>0</v>
      </c>
      <c r="O670" s="86">
        <v>0</v>
      </c>
      <c r="P670" s="86">
        <f>L670</f>
        <v>738960</v>
      </c>
      <c r="Q670" s="86">
        <f>L670/H670</f>
        <v>1347.2379216043755</v>
      </c>
      <c r="R670" s="97">
        <v>42000</v>
      </c>
      <c r="S670" s="55" t="s">
        <v>843</v>
      </c>
      <c r="T670" s="92" t="s">
        <v>773</v>
      </c>
      <c r="X670" s="190"/>
    </row>
    <row r="671" spans="1:24" s="186" customFormat="1" ht="15">
      <c r="A671" s="10">
        <f t="shared" si="150"/>
        <v>498</v>
      </c>
      <c r="B671" s="188" t="s">
        <v>477</v>
      </c>
      <c r="C671" s="92">
        <v>1952</v>
      </c>
      <c r="D671" s="95"/>
      <c r="E671" s="92" t="s">
        <v>94</v>
      </c>
      <c r="F671" s="95">
        <v>2</v>
      </c>
      <c r="G671" s="95">
        <v>2</v>
      </c>
      <c r="H671" s="97">
        <v>537.32</v>
      </c>
      <c r="I671" s="97">
        <v>355.39</v>
      </c>
      <c r="J671" s="97">
        <v>308.59</v>
      </c>
      <c r="K671" s="96">
        <v>16</v>
      </c>
      <c r="L671" s="97">
        <f>'виды работ  (2)'!C670</f>
        <v>116969</v>
      </c>
      <c r="M671" s="97">
        <v>0</v>
      </c>
      <c r="N671" s="97">
        <v>0</v>
      </c>
      <c r="O671" s="97">
        <v>0</v>
      </c>
      <c r="P671" s="97">
        <f t="shared" si="148"/>
        <v>116969</v>
      </c>
      <c r="Q671" s="97">
        <f t="shared" si="149"/>
        <v>217.68964490434004</v>
      </c>
      <c r="R671" s="97">
        <v>42000</v>
      </c>
      <c r="S671" s="55" t="s">
        <v>843</v>
      </c>
      <c r="T671" s="92" t="s">
        <v>773</v>
      </c>
      <c r="X671" s="190"/>
    </row>
    <row r="672" spans="1:24" s="186" customFormat="1" ht="15">
      <c r="A672" s="10">
        <f t="shared" si="150"/>
        <v>499</v>
      </c>
      <c r="B672" s="188" t="s">
        <v>478</v>
      </c>
      <c r="C672" s="92">
        <v>1948</v>
      </c>
      <c r="D672" s="95"/>
      <c r="E672" s="92" t="s">
        <v>94</v>
      </c>
      <c r="F672" s="95">
        <v>2</v>
      </c>
      <c r="G672" s="95">
        <v>2</v>
      </c>
      <c r="H672" s="97">
        <v>981.3</v>
      </c>
      <c r="I672" s="97">
        <v>561.3</v>
      </c>
      <c r="J672" s="97">
        <v>561.3</v>
      </c>
      <c r="K672" s="96">
        <v>16</v>
      </c>
      <c r="L672" s="97">
        <f>'виды работ  (2)'!C671</f>
        <v>199262</v>
      </c>
      <c r="M672" s="97">
        <v>0</v>
      </c>
      <c r="N672" s="97">
        <v>0</v>
      </c>
      <c r="O672" s="97">
        <v>0</v>
      </c>
      <c r="P672" s="97">
        <f t="shared" si="148"/>
        <v>199262</v>
      </c>
      <c r="Q672" s="97">
        <f t="shared" si="149"/>
        <v>203.05920717415674</v>
      </c>
      <c r="R672" s="97">
        <v>42000</v>
      </c>
      <c r="S672" s="55" t="s">
        <v>843</v>
      </c>
      <c r="T672" s="92" t="s">
        <v>773</v>
      </c>
      <c r="X672" s="190"/>
    </row>
    <row r="673" spans="1:24" s="186" customFormat="1" ht="15">
      <c r="A673" s="10">
        <f t="shared" si="150"/>
        <v>500</v>
      </c>
      <c r="B673" s="188" t="s">
        <v>479</v>
      </c>
      <c r="C673" s="92">
        <v>1950</v>
      </c>
      <c r="D673" s="95"/>
      <c r="E673" s="92" t="s">
        <v>94</v>
      </c>
      <c r="F673" s="95">
        <v>2</v>
      </c>
      <c r="G673" s="95">
        <v>2</v>
      </c>
      <c r="H673" s="97">
        <v>518.49</v>
      </c>
      <c r="I673" s="97">
        <v>337.4</v>
      </c>
      <c r="J673" s="97">
        <v>337.4</v>
      </c>
      <c r="K673" s="96">
        <v>5</v>
      </c>
      <c r="L673" s="97">
        <f>'виды работ  (2)'!C672</f>
        <v>148215</v>
      </c>
      <c r="M673" s="97">
        <v>0</v>
      </c>
      <c r="N673" s="97">
        <v>0</v>
      </c>
      <c r="O673" s="97">
        <v>0</v>
      </c>
      <c r="P673" s="97">
        <f t="shared" si="148"/>
        <v>148215</v>
      </c>
      <c r="Q673" s="97">
        <f t="shared" si="149"/>
        <v>285.85893652722325</v>
      </c>
      <c r="R673" s="97">
        <v>42000</v>
      </c>
      <c r="S673" s="55" t="s">
        <v>843</v>
      </c>
      <c r="T673" s="92" t="s">
        <v>773</v>
      </c>
      <c r="X673" s="190"/>
    </row>
    <row r="674" spans="1:24" s="186" customFormat="1" ht="15">
      <c r="A674" s="10">
        <f t="shared" si="150"/>
        <v>501</v>
      </c>
      <c r="B674" s="188" t="s">
        <v>705</v>
      </c>
      <c r="C674" s="234">
        <v>1951</v>
      </c>
      <c r="D674" s="235"/>
      <c r="E674" s="235" t="s">
        <v>101</v>
      </c>
      <c r="F674" s="235">
        <v>2</v>
      </c>
      <c r="G674" s="235">
        <v>2</v>
      </c>
      <c r="H674" s="236">
        <v>546</v>
      </c>
      <c r="I674" s="236">
        <v>351</v>
      </c>
      <c r="J674" s="236">
        <v>351</v>
      </c>
      <c r="K674" s="237">
        <v>12</v>
      </c>
      <c r="L674" s="97">
        <f>'виды работ  (2)'!C673</f>
        <v>187769</v>
      </c>
      <c r="M674" s="97">
        <v>0</v>
      </c>
      <c r="N674" s="97">
        <v>0</v>
      </c>
      <c r="O674" s="97">
        <v>0</v>
      </c>
      <c r="P674" s="97">
        <f t="shared" si="148"/>
        <v>187769</v>
      </c>
      <c r="Q674" s="97">
        <f t="shared" si="149"/>
        <v>343.8992673992674</v>
      </c>
      <c r="R674" s="97">
        <v>42000</v>
      </c>
      <c r="S674" s="55" t="s">
        <v>843</v>
      </c>
      <c r="T674" s="92" t="s">
        <v>773</v>
      </c>
      <c r="X674" s="190"/>
    </row>
    <row r="675" spans="1:24" s="186" customFormat="1" ht="15">
      <c r="A675" s="10">
        <f t="shared" si="150"/>
        <v>502</v>
      </c>
      <c r="B675" s="188" t="s">
        <v>480</v>
      </c>
      <c r="C675" s="92">
        <v>1951</v>
      </c>
      <c r="D675" s="95"/>
      <c r="E675" s="92" t="s">
        <v>94</v>
      </c>
      <c r="F675" s="95">
        <v>2</v>
      </c>
      <c r="G675" s="95">
        <v>2</v>
      </c>
      <c r="H675" s="97">
        <v>540.94</v>
      </c>
      <c r="I675" s="97">
        <v>354.98</v>
      </c>
      <c r="J675" s="97">
        <v>354.98</v>
      </c>
      <c r="K675" s="96">
        <v>25</v>
      </c>
      <c r="L675" s="97">
        <f>'виды работ  (2)'!C674</f>
        <v>218775</v>
      </c>
      <c r="M675" s="97">
        <v>0</v>
      </c>
      <c r="N675" s="97">
        <v>0</v>
      </c>
      <c r="O675" s="97">
        <v>0</v>
      </c>
      <c r="P675" s="97">
        <f t="shared" si="148"/>
        <v>218775</v>
      </c>
      <c r="Q675" s="97">
        <f t="shared" si="149"/>
        <v>404.434872629127</v>
      </c>
      <c r="R675" s="97">
        <v>42000</v>
      </c>
      <c r="S675" s="55" t="s">
        <v>843</v>
      </c>
      <c r="T675" s="92" t="s">
        <v>773</v>
      </c>
      <c r="X675" s="190"/>
    </row>
    <row r="676" spans="1:24" s="186" customFormat="1" ht="15">
      <c r="A676" s="10">
        <f t="shared" si="150"/>
        <v>503</v>
      </c>
      <c r="B676" s="188" t="s">
        <v>481</v>
      </c>
      <c r="C676" s="92">
        <v>1950</v>
      </c>
      <c r="D676" s="95"/>
      <c r="E676" s="92" t="s">
        <v>94</v>
      </c>
      <c r="F676" s="95">
        <v>2</v>
      </c>
      <c r="G676" s="95">
        <v>2</v>
      </c>
      <c r="H676" s="97">
        <v>584.4</v>
      </c>
      <c r="I676" s="97">
        <v>381.68</v>
      </c>
      <c r="J676" s="97">
        <v>286.28</v>
      </c>
      <c r="K676" s="96">
        <v>17</v>
      </c>
      <c r="L676" s="97">
        <f>'виды работ  (2)'!C675</f>
        <v>210680</v>
      </c>
      <c r="M676" s="97">
        <v>0</v>
      </c>
      <c r="N676" s="97">
        <v>0</v>
      </c>
      <c r="O676" s="97">
        <v>0</v>
      </c>
      <c r="P676" s="97">
        <f t="shared" si="148"/>
        <v>210680</v>
      </c>
      <c r="Q676" s="97">
        <f t="shared" si="149"/>
        <v>360.50650239561946</v>
      </c>
      <c r="R676" s="97">
        <v>42000</v>
      </c>
      <c r="S676" s="55" t="s">
        <v>843</v>
      </c>
      <c r="T676" s="92" t="s">
        <v>773</v>
      </c>
      <c r="X676" s="190"/>
    </row>
    <row r="677" spans="1:24" s="186" customFormat="1" ht="15">
      <c r="A677" s="10">
        <f t="shared" si="150"/>
        <v>504</v>
      </c>
      <c r="B677" s="238" t="s">
        <v>497</v>
      </c>
      <c r="C677" s="234">
        <v>1951</v>
      </c>
      <c r="D677" s="235"/>
      <c r="E677" s="92" t="s">
        <v>94</v>
      </c>
      <c r="F677" s="235">
        <v>2</v>
      </c>
      <c r="G677" s="235">
        <v>2</v>
      </c>
      <c r="H677" s="236">
        <v>541.4</v>
      </c>
      <c r="I677" s="236">
        <v>347</v>
      </c>
      <c r="J677" s="236">
        <v>347</v>
      </c>
      <c r="K677" s="237">
        <v>11</v>
      </c>
      <c r="L677" s="97">
        <f>'виды работ  (2)'!C676</f>
        <v>112831</v>
      </c>
      <c r="M677" s="97">
        <v>0</v>
      </c>
      <c r="N677" s="97">
        <v>0</v>
      </c>
      <c r="O677" s="97">
        <v>0</v>
      </c>
      <c r="P677" s="97">
        <f>L677</f>
        <v>112831</v>
      </c>
      <c r="Q677" s="97">
        <f>L677/H677</f>
        <v>208.40598448466937</v>
      </c>
      <c r="R677" s="97">
        <v>42000</v>
      </c>
      <c r="S677" s="55" t="s">
        <v>843</v>
      </c>
      <c r="T677" s="92" t="s">
        <v>773</v>
      </c>
      <c r="X677" s="190"/>
    </row>
    <row r="678" spans="1:24" s="186" customFormat="1" ht="15">
      <c r="A678" s="10">
        <f t="shared" si="150"/>
        <v>505</v>
      </c>
      <c r="B678" s="188" t="s">
        <v>485</v>
      </c>
      <c r="C678" s="92">
        <v>1959</v>
      </c>
      <c r="D678" s="95"/>
      <c r="E678" s="92" t="s">
        <v>94</v>
      </c>
      <c r="F678" s="95">
        <v>2</v>
      </c>
      <c r="G678" s="95">
        <v>4</v>
      </c>
      <c r="H678" s="97">
        <v>1692.6</v>
      </c>
      <c r="I678" s="97">
        <v>1296.82</v>
      </c>
      <c r="J678" s="97">
        <v>1165.27</v>
      </c>
      <c r="K678" s="96">
        <v>58</v>
      </c>
      <c r="L678" s="97">
        <f>'виды работ  (2)'!C677</f>
        <v>4677853</v>
      </c>
      <c r="M678" s="97">
        <v>0</v>
      </c>
      <c r="N678" s="97">
        <v>0</v>
      </c>
      <c r="O678" s="97">
        <v>0</v>
      </c>
      <c r="P678" s="97">
        <f t="shared" si="148"/>
        <v>4677853</v>
      </c>
      <c r="Q678" s="97">
        <f t="shared" si="149"/>
        <v>2763.70849580527</v>
      </c>
      <c r="R678" s="97">
        <v>42000</v>
      </c>
      <c r="S678" s="55" t="s">
        <v>843</v>
      </c>
      <c r="T678" s="92" t="s">
        <v>773</v>
      </c>
      <c r="X678" s="190"/>
    </row>
    <row r="679" spans="1:24" s="186" customFormat="1" ht="15">
      <c r="A679" s="10">
        <f t="shared" si="150"/>
        <v>506</v>
      </c>
      <c r="B679" s="188" t="s">
        <v>492</v>
      </c>
      <c r="C679" s="92">
        <v>1954</v>
      </c>
      <c r="D679" s="95"/>
      <c r="E679" s="92" t="s">
        <v>94</v>
      </c>
      <c r="F679" s="95">
        <v>2</v>
      </c>
      <c r="G679" s="95">
        <v>3</v>
      </c>
      <c r="H679" s="97">
        <v>2182</v>
      </c>
      <c r="I679" s="97">
        <v>1252</v>
      </c>
      <c r="J679" s="97">
        <v>1166</v>
      </c>
      <c r="K679" s="96">
        <v>56</v>
      </c>
      <c r="L679" s="97">
        <f>'виды работ  (2)'!C678</f>
        <v>5225141</v>
      </c>
      <c r="M679" s="97">
        <v>0</v>
      </c>
      <c r="N679" s="97">
        <v>0</v>
      </c>
      <c r="O679" s="97">
        <v>0</v>
      </c>
      <c r="P679" s="97">
        <f t="shared" si="148"/>
        <v>5225141</v>
      </c>
      <c r="Q679" s="97">
        <f t="shared" si="149"/>
        <v>2394.6567369385884</v>
      </c>
      <c r="R679" s="97">
        <v>42000</v>
      </c>
      <c r="S679" s="55" t="s">
        <v>843</v>
      </c>
      <c r="T679" s="92" t="s">
        <v>773</v>
      </c>
      <c r="X679" s="190"/>
    </row>
    <row r="680" spans="1:24" s="186" customFormat="1" ht="15">
      <c r="A680" s="10">
        <f t="shared" si="150"/>
        <v>507</v>
      </c>
      <c r="B680" s="188" t="s">
        <v>498</v>
      </c>
      <c r="C680" s="92">
        <v>1965</v>
      </c>
      <c r="D680" s="95"/>
      <c r="E680" s="95" t="s">
        <v>442</v>
      </c>
      <c r="F680" s="95">
        <v>5</v>
      </c>
      <c r="G680" s="95">
        <v>8</v>
      </c>
      <c r="H680" s="97">
        <v>6353.7</v>
      </c>
      <c r="I680" s="97">
        <v>3681.7</v>
      </c>
      <c r="J680" s="97">
        <v>3272.31</v>
      </c>
      <c r="K680" s="96">
        <v>264</v>
      </c>
      <c r="L680" s="97">
        <f>'виды работ  (2)'!C679</f>
        <v>8530086</v>
      </c>
      <c r="M680" s="97">
        <v>0</v>
      </c>
      <c r="N680" s="97">
        <v>0</v>
      </c>
      <c r="O680" s="97">
        <v>0</v>
      </c>
      <c r="P680" s="97">
        <f t="shared" si="148"/>
        <v>8530086</v>
      </c>
      <c r="Q680" s="97">
        <f t="shared" si="149"/>
        <v>1342.5383634732518</v>
      </c>
      <c r="R680" s="97">
        <v>42000</v>
      </c>
      <c r="S680" s="55" t="s">
        <v>843</v>
      </c>
      <c r="T680" s="92" t="s">
        <v>773</v>
      </c>
      <c r="X680" s="190"/>
    </row>
    <row r="681" spans="1:24" s="186" customFormat="1" ht="15">
      <c r="A681" s="10">
        <f t="shared" si="150"/>
        <v>508</v>
      </c>
      <c r="B681" s="188" t="s">
        <v>499</v>
      </c>
      <c r="C681" s="92">
        <v>1951</v>
      </c>
      <c r="D681" s="95"/>
      <c r="E681" s="92" t="s">
        <v>94</v>
      </c>
      <c r="F681" s="95">
        <v>2</v>
      </c>
      <c r="G681" s="95">
        <v>1</v>
      </c>
      <c r="H681" s="97">
        <v>284.88</v>
      </c>
      <c r="I681" s="97">
        <v>190.72</v>
      </c>
      <c r="J681" s="97">
        <v>190.72</v>
      </c>
      <c r="K681" s="96">
        <v>8</v>
      </c>
      <c r="L681" s="97">
        <f>'виды работ  (2)'!C680</f>
        <v>182805</v>
      </c>
      <c r="M681" s="97">
        <v>0</v>
      </c>
      <c r="N681" s="97">
        <v>0</v>
      </c>
      <c r="O681" s="97">
        <v>0</v>
      </c>
      <c r="P681" s="97">
        <f t="shared" si="148"/>
        <v>182805</v>
      </c>
      <c r="Q681" s="97">
        <f t="shared" si="149"/>
        <v>641.6912384161752</v>
      </c>
      <c r="R681" s="97">
        <v>42000</v>
      </c>
      <c r="S681" s="55" t="s">
        <v>843</v>
      </c>
      <c r="T681" s="92" t="s">
        <v>773</v>
      </c>
      <c r="X681" s="190"/>
    </row>
    <row r="682" spans="1:24" s="186" customFormat="1" ht="15">
      <c r="A682" s="10">
        <f t="shared" si="150"/>
        <v>509</v>
      </c>
      <c r="B682" s="188" t="s">
        <v>482</v>
      </c>
      <c r="C682" s="92">
        <v>1950</v>
      </c>
      <c r="D682" s="95"/>
      <c r="E682" s="92" t="s">
        <v>94</v>
      </c>
      <c r="F682" s="95">
        <v>2</v>
      </c>
      <c r="G682" s="95">
        <v>2</v>
      </c>
      <c r="H682" s="97">
        <v>549.9</v>
      </c>
      <c r="I682" s="97">
        <v>356.4</v>
      </c>
      <c r="J682" s="97">
        <v>307.59999999999997</v>
      </c>
      <c r="K682" s="96">
        <v>15</v>
      </c>
      <c r="L682" s="97">
        <f>'виды работ  (2)'!C681</f>
        <v>211466</v>
      </c>
      <c r="M682" s="97">
        <v>0</v>
      </c>
      <c r="N682" s="97">
        <v>0</v>
      </c>
      <c r="O682" s="97">
        <v>0</v>
      </c>
      <c r="P682" s="97">
        <f t="shared" si="148"/>
        <v>211466</v>
      </c>
      <c r="Q682" s="97">
        <f t="shared" si="149"/>
        <v>384.5535551918531</v>
      </c>
      <c r="R682" s="97">
        <v>42000</v>
      </c>
      <c r="S682" s="55" t="s">
        <v>843</v>
      </c>
      <c r="T682" s="92" t="s">
        <v>773</v>
      </c>
      <c r="X682" s="190"/>
    </row>
    <row r="683" spans="1:24" s="186" customFormat="1" ht="15">
      <c r="A683" s="10">
        <f t="shared" si="150"/>
        <v>510</v>
      </c>
      <c r="B683" s="188" t="s">
        <v>487</v>
      </c>
      <c r="C683" s="92">
        <v>1951</v>
      </c>
      <c r="D683" s="95"/>
      <c r="E683" s="92" t="s">
        <v>94</v>
      </c>
      <c r="F683" s="95">
        <v>2</v>
      </c>
      <c r="G683" s="95">
        <v>3</v>
      </c>
      <c r="H683" s="97">
        <v>1215.3</v>
      </c>
      <c r="I683" s="97">
        <v>802.8</v>
      </c>
      <c r="J683" s="97">
        <v>703.4</v>
      </c>
      <c r="K683" s="96">
        <v>22</v>
      </c>
      <c r="L683" s="97">
        <f>'виды работ  (2)'!C682</f>
        <v>3177139</v>
      </c>
      <c r="M683" s="97">
        <v>0</v>
      </c>
      <c r="N683" s="97">
        <v>0</v>
      </c>
      <c r="O683" s="97">
        <v>0</v>
      </c>
      <c r="P683" s="97">
        <f t="shared" si="148"/>
        <v>3177139</v>
      </c>
      <c r="Q683" s="97">
        <f t="shared" si="149"/>
        <v>2614.2837159549085</v>
      </c>
      <c r="R683" s="97">
        <v>42000</v>
      </c>
      <c r="S683" s="55" t="s">
        <v>843</v>
      </c>
      <c r="T683" s="92" t="s">
        <v>773</v>
      </c>
      <c r="X683" s="190"/>
    </row>
    <row r="684" spans="1:24" s="186" customFormat="1" ht="15">
      <c r="A684" s="10">
        <f t="shared" si="150"/>
        <v>511</v>
      </c>
      <c r="B684" s="188" t="s">
        <v>488</v>
      </c>
      <c r="C684" s="92">
        <v>1951</v>
      </c>
      <c r="D684" s="95"/>
      <c r="E684" s="92" t="s">
        <v>94</v>
      </c>
      <c r="F684" s="95">
        <v>2</v>
      </c>
      <c r="G684" s="95">
        <v>3</v>
      </c>
      <c r="H684" s="97">
        <v>1192</v>
      </c>
      <c r="I684" s="97">
        <v>783.1</v>
      </c>
      <c r="J684" s="97">
        <v>680.9</v>
      </c>
      <c r="K684" s="96">
        <v>22</v>
      </c>
      <c r="L684" s="97">
        <f>'виды работ  (2)'!C683</f>
        <v>3110157</v>
      </c>
      <c r="M684" s="97">
        <v>0</v>
      </c>
      <c r="N684" s="97">
        <v>0</v>
      </c>
      <c r="O684" s="97">
        <v>0</v>
      </c>
      <c r="P684" s="97">
        <f t="shared" si="148"/>
        <v>3110157</v>
      </c>
      <c r="Q684" s="97">
        <f t="shared" si="149"/>
        <v>2609.19211409396</v>
      </c>
      <c r="R684" s="97">
        <v>42000</v>
      </c>
      <c r="S684" s="55" t="s">
        <v>843</v>
      </c>
      <c r="T684" s="92" t="s">
        <v>773</v>
      </c>
      <c r="X684" s="190"/>
    </row>
    <row r="685" spans="1:24" s="186" customFormat="1" ht="15">
      <c r="A685" s="10">
        <f t="shared" si="150"/>
        <v>512</v>
      </c>
      <c r="B685" s="188" t="s">
        <v>489</v>
      </c>
      <c r="C685" s="92">
        <v>1953</v>
      </c>
      <c r="D685" s="95"/>
      <c r="E685" s="95" t="s">
        <v>442</v>
      </c>
      <c r="F685" s="95">
        <v>3</v>
      </c>
      <c r="G685" s="95">
        <v>3</v>
      </c>
      <c r="H685" s="97">
        <v>2864.08</v>
      </c>
      <c r="I685" s="97">
        <v>2029.57</v>
      </c>
      <c r="J685" s="97">
        <v>1869.19</v>
      </c>
      <c r="K685" s="96">
        <v>69</v>
      </c>
      <c r="L685" s="97">
        <f>'виды работ  (2)'!C684</f>
        <v>5195337</v>
      </c>
      <c r="M685" s="97">
        <v>0</v>
      </c>
      <c r="N685" s="97">
        <v>0</v>
      </c>
      <c r="O685" s="97">
        <v>0</v>
      </c>
      <c r="P685" s="97">
        <f t="shared" si="148"/>
        <v>5195337</v>
      </c>
      <c r="Q685" s="97">
        <f t="shared" si="149"/>
        <v>1813.963646266864</v>
      </c>
      <c r="R685" s="97">
        <v>42000</v>
      </c>
      <c r="S685" s="55" t="s">
        <v>843</v>
      </c>
      <c r="T685" s="92" t="s">
        <v>773</v>
      </c>
      <c r="X685" s="190"/>
    </row>
    <row r="686" spans="1:24" s="186" customFormat="1" ht="15">
      <c r="A686" s="10">
        <f t="shared" si="150"/>
        <v>513</v>
      </c>
      <c r="B686" s="188" t="s">
        <v>491</v>
      </c>
      <c r="C686" s="92">
        <v>1947</v>
      </c>
      <c r="D686" s="95"/>
      <c r="E686" s="92" t="s">
        <v>94</v>
      </c>
      <c r="F686" s="95">
        <v>2</v>
      </c>
      <c r="G686" s="95">
        <v>3</v>
      </c>
      <c r="H686" s="97">
        <v>1148</v>
      </c>
      <c r="I686" s="97">
        <v>895.14</v>
      </c>
      <c r="J686" s="97">
        <v>798.14</v>
      </c>
      <c r="K686" s="96">
        <v>25</v>
      </c>
      <c r="L686" s="97">
        <f>'виды работ  (2)'!C685</f>
        <v>3110157</v>
      </c>
      <c r="M686" s="97">
        <v>0</v>
      </c>
      <c r="N686" s="97">
        <v>0</v>
      </c>
      <c r="O686" s="97">
        <v>0</v>
      </c>
      <c r="P686" s="97">
        <f t="shared" si="148"/>
        <v>3110157</v>
      </c>
      <c r="Q686" s="97">
        <f t="shared" si="149"/>
        <v>2709.1959930313587</v>
      </c>
      <c r="R686" s="97">
        <v>42000</v>
      </c>
      <c r="S686" s="55" t="s">
        <v>843</v>
      </c>
      <c r="T686" s="92" t="s">
        <v>773</v>
      </c>
      <c r="X686" s="190"/>
    </row>
    <row r="687" spans="1:24" s="186" customFormat="1" ht="15">
      <c r="A687" s="10">
        <f t="shared" si="150"/>
        <v>514</v>
      </c>
      <c r="B687" s="188" t="s">
        <v>500</v>
      </c>
      <c r="C687" s="92">
        <v>1952</v>
      </c>
      <c r="D687" s="95"/>
      <c r="E687" s="92" t="s">
        <v>94</v>
      </c>
      <c r="F687" s="95">
        <v>2</v>
      </c>
      <c r="G687" s="95">
        <v>1</v>
      </c>
      <c r="H687" s="97">
        <v>284.8</v>
      </c>
      <c r="I687" s="97">
        <v>183.5</v>
      </c>
      <c r="J687" s="97">
        <v>41.30000000000001</v>
      </c>
      <c r="K687" s="96">
        <v>21</v>
      </c>
      <c r="L687" s="97">
        <f>'виды работ  (2)'!C686</f>
        <v>175838</v>
      </c>
      <c r="M687" s="97">
        <v>0</v>
      </c>
      <c r="N687" s="97">
        <v>0</v>
      </c>
      <c r="O687" s="97">
        <v>0</v>
      </c>
      <c r="P687" s="97">
        <f t="shared" si="148"/>
        <v>175838</v>
      </c>
      <c r="Q687" s="97">
        <f t="shared" si="149"/>
        <v>617.4087078651685</v>
      </c>
      <c r="R687" s="97">
        <v>42000</v>
      </c>
      <c r="S687" s="55" t="s">
        <v>843</v>
      </c>
      <c r="T687" s="92" t="s">
        <v>773</v>
      </c>
      <c r="X687" s="190"/>
    </row>
    <row r="688" spans="1:24" s="186" customFormat="1" ht="15">
      <c r="A688" s="10">
        <f t="shared" si="150"/>
        <v>515</v>
      </c>
      <c r="B688" s="188" t="s">
        <v>501</v>
      </c>
      <c r="C688" s="92">
        <v>1952</v>
      </c>
      <c r="D688" s="95"/>
      <c r="E688" s="92" t="s">
        <v>94</v>
      </c>
      <c r="F688" s="95">
        <v>3</v>
      </c>
      <c r="G688" s="95">
        <v>4</v>
      </c>
      <c r="H688" s="97">
        <v>1741</v>
      </c>
      <c r="I688" s="97">
        <v>1143.9</v>
      </c>
      <c r="J688" s="97">
        <v>1143.9</v>
      </c>
      <c r="K688" s="96">
        <v>74</v>
      </c>
      <c r="L688" s="97">
        <f>'виды работ  (2)'!C687</f>
        <v>148983</v>
      </c>
      <c r="M688" s="97">
        <v>0</v>
      </c>
      <c r="N688" s="97">
        <v>0</v>
      </c>
      <c r="O688" s="97">
        <v>0</v>
      </c>
      <c r="P688" s="97">
        <f t="shared" si="148"/>
        <v>148983</v>
      </c>
      <c r="Q688" s="97">
        <f t="shared" si="149"/>
        <v>85.57323377369327</v>
      </c>
      <c r="R688" s="97">
        <v>42000</v>
      </c>
      <c r="S688" s="55" t="s">
        <v>843</v>
      </c>
      <c r="T688" s="92" t="s">
        <v>773</v>
      </c>
      <c r="X688" s="190"/>
    </row>
    <row r="689" spans="1:24" s="186" customFormat="1" ht="15">
      <c r="A689" s="10">
        <f t="shared" si="150"/>
        <v>516</v>
      </c>
      <c r="B689" s="188" t="s">
        <v>502</v>
      </c>
      <c r="C689" s="92">
        <v>1946</v>
      </c>
      <c r="D689" s="95"/>
      <c r="E689" s="92" t="s">
        <v>94</v>
      </c>
      <c r="F689" s="95">
        <v>2</v>
      </c>
      <c r="G689" s="95">
        <v>4</v>
      </c>
      <c r="H689" s="97">
        <v>1127.2</v>
      </c>
      <c r="I689" s="97">
        <v>719.7</v>
      </c>
      <c r="J689" s="97">
        <v>719.7</v>
      </c>
      <c r="K689" s="96">
        <v>48</v>
      </c>
      <c r="L689" s="97">
        <f>'виды работ  (2)'!C688</f>
        <v>265654</v>
      </c>
      <c r="M689" s="97">
        <v>0</v>
      </c>
      <c r="N689" s="97">
        <v>0</v>
      </c>
      <c r="O689" s="97">
        <v>0</v>
      </c>
      <c r="P689" s="97">
        <f t="shared" si="148"/>
        <v>265654</v>
      </c>
      <c r="Q689" s="97">
        <f t="shared" si="149"/>
        <v>235.67601135557132</v>
      </c>
      <c r="R689" s="97">
        <v>42000</v>
      </c>
      <c r="S689" s="55" t="s">
        <v>843</v>
      </c>
      <c r="T689" s="92" t="s">
        <v>773</v>
      </c>
      <c r="X689" s="190"/>
    </row>
    <row r="690" spans="1:24" s="186" customFormat="1" ht="15">
      <c r="A690" s="10">
        <f t="shared" si="150"/>
        <v>517</v>
      </c>
      <c r="B690" s="188" t="s">
        <v>503</v>
      </c>
      <c r="C690" s="92">
        <v>1951</v>
      </c>
      <c r="D690" s="95"/>
      <c r="E690" s="92" t="s">
        <v>94</v>
      </c>
      <c r="F690" s="95">
        <v>2</v>
      </c>
      <c r="G690" s="95">
        <v>2</v>
      </c>
      <c r="H690" s="97">
        <v>551.4</v>
      </c>
      <c r="I690" s="97">
        <v>354.7</v>
      </c>
      <c r="J690" s="97">
        <v>354.7</v>
      </c>
      <c r="K690" s="96">
        <v>13</v>
      </c>
      <c r="L690" s="97">
        <f>'виды работ  (2)'!C689</f>
        <v>211502</v>
      </c>
      <c r="M690" s="97">
        <v>0</v>
      </c>
      <c r="N690" s="97">
        <v>0</v>
      </c>
      <c r="O690" s="97">
        <v>0</v>
      </c>
      <c r="P690" s="97">
        <f t="shared" si="148"/>
        <v>211502</v>
      </c>
      <c r="Q690" s="97">
        <f t="shared" si="149"/>
        <v>383.5727239753355</v>
      </c>
      <c r="R690" s="97">
        <v>42000</v>
      </c>
      <c r="S690" s="55" t="s">
        <v>843</v>
      </c>
      <c r="T690" s="92" t="s">
        <v>773</v>
      </c>
      <c r="X690" s="190"/>
    </row>
    <row r="691" spans="1:24" s="186" customFormat="1" ht="15">
      <c r="A691" s="10">
        <f t="shared" si="150"/>
        <v>518</v>
      </c>
      <c r="B691" s="188" t="s">
        <v>483</v>
      </c>
      <c r="C691" s="92">
        <v>1961</v>
      </c>
      <c r="D691" s="95"/>
      <c r="E691" s="92" t="s">
        <v>94</v>
      </c>
      <c r="F691" s="95">
        <v>3</v>
      </c>
      <c r="G691" s="95">
        <v>2</v>
      </c>
      <c r="H691" s="97">
        <v>942.3</v>
      </c>
      <c r="I691" s="97">
        <v>611.04</v>
      </c>
      <c r="J691" s="97">
        <v>492.73999999999995</v>
      </c>
      <c r="K691" s="96">
        <v>44</v>
      </c>
      <c r="L691" s="97">
        <f>'виды работ  (2)'!C690</f>
        <v>116633</v>
      </c>
      <c r="M691" s="97">
        <v>0</v>
      </c>
      <c r="N691" s="97">
        <v>0</v>
      </c>
      <c r="O691" s="97">
        <v>0</v>
      </c>
      <c r="P691" s="97">
        <f t="shared" si="148"/>
        <v>116633</v>
      </c>
      <c r="Q691" s="97">
        <f t="shared" si="149"/>
        <v>123.7748063249496</v>
      </c>
      <c r="R691" s="97">
        <v>42000</v>
      </c>
      <c r="S691" s="55" t="s">
        <v>843</v>
      </c>
      <c r="T691" s="92" t="s">
        <v>773</v>
      </c>
      <c r="X691" s="190"/>
    </row>
    <row r="692" spans="1:24" s="186" customFormat="1" ht="15">
      <c r="A692" s="10">
        <f t="shared" si="150"/>
        <v>519</v>
      </c>
      <c r="B692" s="188" t="s">
        <v>484</v>
      </c>
      <c r="C692" s="92">
        <v>1951</v>
      </c>
      <c r="D692" s="95"/>
      <c r="E692" s="92" t="s">
        <v>94</v>
      </c>
      <c r="F692" s="95">
        <v>2</v>
      </c>
      <c r="G692" s="95">
        <v>2</v>
      </c>
      <c r="H692" s="97">
        <v>1489.2</v>
      </c>
      <c r="I692" s="97">
        <v>834</v>
      </c>
      <c r="J692" s="97">
        <v>773.62</v>
      </c>
      <c r="K692" s="96">
        <v>39</v>
      </c>
      <c r="L692" s="97">
        <f>'виды работ  (2)'!C691</f>
        <v>122144</v>
      </c>
      <c r="M692" s="97">
        <v>0</v>
      </c>
      <c r="N692" s="97">
        <v>0</v>
      </c>
      <c r="O692" s="97">
        <v>0</v>
      </c>
      <c r="P692" s="97">
        <f t="shared" si="148"/>
        <v>122144</v>
      </c>
      <c r="Q692" s="97">
        <f t="shared" si="149"/>
        <v>82.01987644372818</v>
      </c>
      <c r="R692" s="97">
        <v>42000</v>
      </c>
      <c r="S692" s="55" t="s">
        <v>843</v>
      </c>
      <c r="T692" s="92" t="s">
        <v>773</v>
      </c>
      <c r="X692" s="190"/>
    </row>
    <row r="693" spans="1:24" s="186" customFormat="1" ht="15">
      <c r="A693" s="10">
        <f t="shared" si="150"/>
        <v>520</v>
      </c>
      <c r="B693" s="188" t="s">
        <v>504</v>
      </c>
      <c r="C693" s="92">
        <v>1951</v>
      </c>
      <c r="D693" s="95"/>
      <c r="E693" s="92" t="s">
        <v>94</v>
      </c>
      <c r="F693" s="95">
        <v>2</v>
      </c>
      <c r="G693" s="95">
        <v>2</v>
      </c>
      <c r="H693" s="97">
        <v>857</v>
      </c>
      <c r="I693" s="97">
        <v>540</v>
      </c>
      <c r="J693" s="97">
        <v>462.33</v>
      </c>
      <c r="K693" s="96">
        <v>36</v>
      </c>
      <c r="L693" s="97">
        <f>'виды работ  (2)'!C692</f>
        <v>237026</v>
      </c>
      <c r="M693" s="97">
        <v>0</v>
      </c>
      <c r="N693" s="97">
        <v>0</v>
      </c>
      <c r="O693" s="97">
        <v>0</v>
      </c>
      <c r="P693" s="97">
        <f t="shared" si="148"/>
        <v>237026</v>
      </c>
      <c r="Q693" s="97">
        <f t="shared" si="149"/>
        <v>276.5764294049008</v>
      </c>
      <c r="R693" s="97">
        <v>42000</v>
      </c>
      <c r="S693" s="55" t="s">
        <v>843</v>
      </c>
      <c r="T693" s="92" t="s">
        <v>773</v>
      </c>
      <c r="X693" s="190"/>
    </row>
    <row r="694" spans="1:24" s="186" customFormat="1" ht="15">
      <c r="A694" s="10">
        <f t="shared" si="150"/>
        <v>521</v>
      </c>
      <c r="B694" s="188" t="s">
        <v>505</v>
      </c>
      <c r="C694" s="92">
        <v>1991</v>
      </c>
      <c r="D694" s="95"/>
      <c r="E694" s="95" t="s">
        <v>442</v>
      </c>
      <c r="F694" s="95">
        <v>9</v>
      </c>
      <c r="G694" s="95">
        <v>4</v>
      </c>
      <c r="H694" s="97">
        <v>10906.7</v>
      </c>
      <c r="I694" s="97">
        <v>8074.7</v>
      </c>
      <c r="J694" s="97">
        <v>7883.4</v>
      </c>
      <c r="K694" s="96">
        <v>331</v>
      </c>
      <c r="L694" s="97">
        <f>'виды работ  (2)'!C693</f>
        <v>10635269</v>
      </c>
      <c r="M694" s="97">
        <v>0</v>
      </c>
      <c r="N694" s="97">
        <v>0</v>
      </c>
      <c r="O694" s="97">
        <v>0</v>
      </c>
      <c r="P694" s="97">
        <f t="shared" si="148"/>
        <v>10635269</v>
      </c>
      <c r="Q694" s="97">
        <f t="shared" si="149"/>
        <v>975.1133706804073</v>
      </c>
      <c r="R694" s="97">
        <v>42000</v>
      </c>
      <c r="S694" s="55" t="s">
        <v>843</v>
      </c>
      <c r="T694" s="92" t="s">
        <v>773</v>
      </c>
      <c r="X694" s="190"/>
    </row>
    <row r="695" spans="1:24" s="186" customFormat="1" ht="21.75" customHeight="1">
      <c r="A695" s="117" t="s">
        <v>597</v>
      </c>
      <c r="B695" s="117"/>
      <c r="C695" s="86" t="s">
        <v>430</v>
      </c>
      <c r="D695" s="86" t="s">
        <v>430</v>
      </c>
      <c r="E695" s="86" t="s">
        <v>430</v>
      </c>
      <c r="F695" s="86" t="s">
        <v>430</v>
      </c>
      <c r="G695" s="86" t="s">
        <v>430</v>
      </c>
      <c r="H695" s="97">
        <f>SUM(H660:H694)</f>
        <v>61127.93000000001</v>
      </c>
      <c r="I695" s="97">
        <f aca="true" t="shared" si="151" ref="I695:P695">SUM(I660:I694)</f>
        <v>42323.67</v>
      </c>
      <c r="J695" s="97">
        <f t="shared" si="151"/>
        <v>38615.490000000005</v>
      </c>
      <c r="K695" s="96">
        <f t="shared" si="151"/>
        <v>1993</v>
      </c>
      <c r="L695" s="97">
        <f t="shared" si="151"/>
        <v>65638472</v>
      </c>
      <c r="M695" s="97">
        <f t="shared" si="151"/>
        <v>0</v>
      </c>
      <c r="N695" s="97">
        <f t="shared" si="151"/>
        <v>0</v>
      </c>
      <c r="O695" s="97">
        <f t="shared" si="151"/>
        <v>0</v>
      </c>
      <c r="P695" s="97">
        <f t="shared" si="151"/>
        <v>65638472</v>
      </c>
      <c r="Q695" s="97">
        <f t="shared" si="149"/>
        <v>1073.7885611372737</v>
      </c>
      <c r="R695" s="56" t="s">
        <v>430</v>
      </c>
      <c r="S695" s="56" t="s">
        <v>430</v>
      </c>
      <c r="T695" s="56" t="s">
        <v>430</v>
      </c>
      <c r="U695" s="190"/>
      <c r="X695" s="190"/>
    </row>
    <row r="696" spans="1:24" s="186" customFormat="1" ht="19.5" customHeight="1">
      <c r="A696" s="140" t="s">
        <v>663</v>
      </c>
      <c r="B696" s="140"/>
      <c r="C696" s="140"/>
      <c r="D696" s="81" t="s">
        <v>430</v>
      </c>
      <c r="E696" s="81" t="s">
        <v>430</v>
      </c>
      <c r="F696" s="81" t="s">
        <v>430</v>
      </c>
      <c r="G696" s="81" t="s">
        <v>430</v>
      </c>
      <c r="H696" s="97">
        <f>H695+H658+H655</f>
        <v>65461.59000000001</v>
      </c>
      <c r="I696" s="97">
        <f aca="true" t="shared" si="152" ref="I696:P696">I695+I658+I655</f>
        <v>45849.27</v>
      </c>
      <c r="J696" s="97">
        <f t="shared" si="152"/>
        <v>41132.69000000001</v>
      </c>
      <c r="K696" s="96">
        <f t="shared" si="152"/>
        <v>2098</v>
      </c>
      <c r="L696" s="97">
        <f t="shared" si="152"/>
        <v>73627366</v>
      </c>
      <c r="M696" s="97">
        <f t="shared" si="152"/>
        <v>0</v>
      </c>
      <c r="N696" s="97">
        <f t="shared" si="152"/>
        <v>0</v>
      </c>
      <c r="O696" s="97">
        <f t="shared" si="152"/>
        <v>0</v>
      </c>
      <c r="P696" s="97">
        <f t="shared" si="152"/>
        <v>73627366</v>
      </c>
      <c r="Q696" s="97">
        <f>L696/H696</f>
        <v>1124.7414858087009</v>
      </c>
      <c r="R696" s="56" t="s">
        <v>430</v>
      </c>
      <c r="S696" s="56" t="s">
        <v>430</v>
      </c>
      <c r="T696" s="56" t="s">
        <v>430</v>
      </c>
      <c r="U696" s="190"/>
      <c r="X696" s="190"/>
    </row>
    <row r="697" spans="1:24" s="186" customFormat="1" ht="15">
      <c r="A697" s="223" t="s">
        <v>664</v>
      </c>
      <c r="B697" s="224"/>
      <c r="C697" s="224"/>
      <c r="D697" s="224"/>
      <c r="E697" s="224"/>
      <c r="F697" s="224"/>
      <c r="G697" s="224"/>
      <c r="H697" s="224"/>
      <c r="I697" s="224"/>
      <c r="J697" s="224"/>
      <c r="K697" s="224"/>
      <c r="L697" s="224"/>
      <c r="M697" s="224"/>
      <c r="N697" s="224"/>
      <c r="O697" s="224"/>
      <c r="P697" s="224"/>
      <c r="Q697" s="224"/>
      <c r="R697" s="224"/>
      <c r="S697" s="224"/>
      <c r="T697" s="225"/>
      <c r="X697" s="190"/>
    </row>
    <row r="698" spans="1:24" s="186" customFormat="1" ht="15">
      <c r="A698" s="96">
        <f>A694+1</f>
        <v>522</v>
      </c>
      <c r="B698" s="188" t="s">
        <v>507</v>
      </c>
      <c r="C698" s="92">
        <v>1984</v>
      </c>
      <c r="D698" s="95"/>
      <c r="E698" s="92" t="s">
        <v>94</v>
      </c>
      <c r="F698" s="95">
        <v>10</v>
      </c>
      <c r="G698" s="95">
        <v>1</v>
      </c>
      <c r="H698" s="97">
        <v>2046.8</v>
      </c>
      <c r="I698" s="97">
        <v>2046.8</v>
      </c>
      <c r="J698" s="97">
        <v>1231</v>
      </c>
      <c r="K698" s="96">
        <v>97</v>
      </c>
      <c r="L698" s="97">
        <f>'виды работ  (2)'!C697</f>
        <v>635257</v>
      </c>
      <c r="M698" s="97">
        <v>0</v>
      </c>
      <c r="N698" s="97">
        <v>0</v>
      </c>
      <c r="O698" s="97">
        <v>0</v>
      </c>
      <c r="P698" s="97">
        <f>L698</f>
        <v>635257</v>
      </c>
      <c r="Q698" s="97">
        <f>L698/H698</f>
        <v>310.3659370725034</v>
      </c>
      <c r="R698" s="97">
        <v>42000</v>
      </c>
      <c r="S698" s="55" t="s">
        <v>843</v>
      </c>
      <c r="T698" s="92" t="s">
        <v>773</v>
      </c>
      <c r="U698" s="190"/>
      <c r="X698" s="190"/>
    </row>
    <row r="699" spans="1:24" s="186" customFormat="1" ht="15">
      <c r="A699" s="96">
        <f>A698+1</f>
        <v>523</v>
      </c>
      <c r="B699" s="188" t="s">
        <v>508</v>
      </c>
      <c r="C699" s="92">
        <v>1984</v>
      </c>
      <c r="D699" s="95"/>
      <c r="E699" s="92" t="s">
        <v>94</v>
      </c>
      <c r="F699" s="95">
        <v>10</v>
      </c>
      <c r="G699" s="95">
        <v>1</v>
      </c>
      <c r="H699" s="97">
        <v>2006.5</v>
      </c>
      <c r="I699" s="97">
        <v>2006.5</v>
      </c>
      <c r="J699" s="97">
        <v>1231.8</v>
      </c>
      <c r="K699" s="96">
        <v>87</v>
      </c>
      <c r="L699" s="97">
        <f>'виды работ  (2)'!C698</f>
        <v>3469264</v>
      </c>
      <c r="M699" s="97">
        <v>0</v>
      </c>
      <c r="N699" s="97">
        <v>0</v>
      </c>
      <c r="O699" s="97">
        <v>0</v>
      </c>
      <c r="P699" s="97">
        <f>L699</f>
        <v>3469264</v>
      </c>
      <c r="Q699" s="97">
        <f>L699/H699</f>
        <v>1729.0127086967357</v>
      </c>
      <c r="R699" s="97">
        <v>42000</v>
      </c>
      <c r="S699" s="55" t="s">
        <v>843</v>
      </c>
      <c r="T699" s="92" t="s">
        <v>773</v>
      </c>
      <c r="U699" s="190"/>
      <c r="X699" s="190"/>
    </row>
    <row r="700" spans="1:24" s="186" customFormat="1" ht="15">
      <c r="A700" s="96">
        <f aca="true" t="shared" si="153" ref="A700:A729">A699+1</f>
        <v>524</v>
      </c>
      <c r="B700" s="188" t="s">
        <v>790</v>
      </c>
      <c r="C700" s="77">
        <v>1980</v>
      </c>
      <c r="D700" s="77"/>
      <c r="E700" s="92" t="s">
        <v>94</v>
      </c>
      <c r="F700" s="77">
        <v>9</v>
      </c>
      <c r="G700" s="77">
        <v>1</v>
      </c>
      <c r="H700" s="71">
        <v>1945.2</v>
      </c>
      <c r="I700" s="71">
        <v>1945.2</v>
      </c>
      <c r="J700" s="71">
        <v>1186.8</v>
      </c>
      <c r="K700" s="197">
        <v>73</v>
      </c>
      <c r="L700" s="97">
        <f>'виды работ  (2)'!C699</f>
        <v>2835482</v>
      </c>
      <c r="M700" s="97">
        <v>0</v>
      </c>
      <c r="N700" s="97">
        <v>0</v>
      </c>
      <c r="O700" s="97">
        <v>0</v>
      </c>
      <c r="P700" s="97">
        <f aca="true" t="shared" si="154" ref="P700:P729">L700</f>
        <v>2835482</v>
      </c>
      <c r="Q700" s="97">
        <f aca="true" t="shared" si="155" ref="Q700:Q729">L700/H700</f>
        <v>1457.6814723421755</v>
      </c>
      <c r="R700" s="97">
        <v>42000</v>
      </c>
      <c r="S700" s="55" t="s">
        <v>843</v>
      </c>
      <c r="T700" s="92" t="s">
        <v>773</v>
      </c>
      <c r="U700" s="190"/>
      <c r="X700" s="190"/>
    </row>
    <row r="701" spans="1:24" s="186" customFormat="1" ht="15">
      <c r="A701" s="96">
        <f t="shared" si="153"/>
        <v>525</v>
      </c>
      <c r="B701" s="188" t="s">
        <v>792</v>
      </c>
      <c r="C701" s="77">
        <v>1971</v>
      </c>
      <c r="D701" s="77"/>
      <c r="E701" s="92" t="s">
        <v>94</v>
      </c>
      <c r="F701" s="77">
        <v>9</v>
      </c>
      <c r="G701" s="77">
        <v>3</v>
      </c>
      <c r="H701" s="71">
        <v>5546.8</v>
      </c>
      <c r="I701" s="239">
        <v>5497.37</v>
      </c>
      <c r="J701" s="239">
        <v>5336.5</v>
      </c>
      <c r="K701" s="197">
        <v>251</v>
      </c>
      <c r="L701" s="97">
        <f>'виды работ  (2)'!C700</f>
        <v>8307189</v>
      </c>
      <c r="M701" s="97">
        <v>0</v>
      </c>
      <c r="N701" s="97">
        <v>0</v>
      </c>
      <c r="O701" s="97">
        <v>0</v>
      </c>
      <c r="P701" s="97">
        <f t="shared" si="154"/>
        <v>8307189</v>
      </c>
      <c r="Q701" s="97">
        <f t="shared" si="155"/>
        <v>1497.6543232133843</v>
      </c>
      <c r="R701" s="97">
        <v>42000</v>
      </c>
      <c r="S701" s="55" t="s">
        <v>843</v>
      </c>
      <c r="T701" s="92" t="s">
        <v>773</v>
      </c>
      <c r="U701" s="190"/>
      <c r="X701" s="190"/>
    </row>
    <row r="702" spans="1:24" s="186" customFormat="1" ht="15">
      <c r="A702" s="96">
        <f t="shared" si="153"/>
        <v>526</v>
      </c>
      <c r="B702" s="188" t="s">
        <v>510</v>
      </c>
      <c r="C702" s="92">
        <v>1971</v>
      </c>
      <c r="D702" s="95"/>
      <c r="E702" s="92" t="s">
        <v>94</v>
      </c>
      <c r="F702" s="95">
        <v>9</v>
      </c>
      <c r="G702" s="95">
        <v>3</v>
      </c>
      <c r="H702" s="97">
        <v>5528.1</v>
      </c>
      <c r="I702" s="97">
        <v>5528.1</v>
      </c>
      <c r="J702" s="97">
        <v>3599.3</v>
      </c>
      <c r="K702" s="96">
        <v>264</v>
      </c>
      <c r="L702" s="97">
        <f>'виды работ  (2)'!C701</f>
        <v>8307048</v>
      </c>
      <c r="M702" s="97">
        <v>0</v>
      </c>
      <c r="N702" s="97">
        <v>0</v>
      </c>
      <c r="O702" s="97">
        <v>0</v>
      </c>
      <c r="P702" s="97">
        <f t="shared" si="154"/>
        <v>8307048</v>
      </c>
      <c r="Q702" s="97">
        <f t="shared" si="155"/>
        <v>1502.694958484832</v>
      </c>
      <c r="R702" s="97">
        <v>42000</v>
      </c>
      <c r="S702" s="55" t="s">
        <v>843</v>
      </c>
      <c r="T702" s="92" t="s">
        <v>773</v>
      </c>
      <c r="U702" s="190"/>
      <c r="X702" s="190"/>
    </row>
    <row r="703" spans="1:24" s="186" customFormat="1" ht="15">
      <c r="A703" s="96">
        <f t="shared" si="153"/>
        <v>527</v>
      </c>
      <c r="B703" s="188" t="s">
        <v>791</v>
      </c>
      <c r="C703" s="77">
        <v>1967</v>
      </c>
      <c r="D703" s="77"/>
      <c r="E703" s="92" t="s">
        <v>94</v>
      </c>
      <c r="F703" s="77">
        <v>9</v>
      </c>
      <c r="G703" s="77">
        <v>1</v>
      </c>
      <c r="H703" s="71">
        <v>2050.2</v>
      </c>
      <c r="I703" s="239">
        <v>1939.7</v>
      </c>
      <c r="J703" s="239">
        <v>1939.7</v>
      </c>
      <c r="K703" s="197">
        <v>70</v>
      </c>
      <c r="L703" s="97">
        <f>'виды работ  (2)'!C702</f>
        <v>3179576</v>
      </c>
      <c r="M703" s="97">
        <v>0</v>
      </c>
      <c r="N703" s="97">
        <v>0</v>
      </c>
      <c r="O703" s="97">
        <v>0</v>
      </c>
      <c r="P703" s="97">
        <f t="shared" si="154"/>
        <v>3179576</v>
      </c>
      <c r="Q703" s="97">
        <f t="shared" si="155"/>
        <v>1550.861379377622</v>
      </c>
      <c r="R703" s="97">
        <v>42000</v>
      </c>
      <c r="S703" s="55" t="s">
        <v>843</v>
      </c>
      <c r="T703" s="92" t="s">
        <v>773</v>
      </c>
      <c r="U703" s="190"/>
      <c r="X703" s="190"/>
    </row>
    <row r="704" spans="1:24" s="186" customFormat="1" ht="15">
      <c r="A704" s="96">
        <f t="shared" si="153"/>
        <v>528</v>
      </c>
      <c r="B704" s="188" t="s">
        <v>519</v>
      </c>
      <c r="C704" s="92">
        <v>1966</v>
      </c>
      <c r="D704" s="95"/>
      <c r="E704" s="92" t="s">
        <v>94</v>
      </c>
      <c r="F704" s="95">
        <v>5</v>
      </c>
      <c r="G704" s="95">
        <v>4</v>
      </c>
      <c r="H704" s="97">
        <v>3069.9</v>
      </c>
      <c r="I704" s="97">
        <v>2980.14</v>
      </c>
      <c r="J704" s="97">
        <v>2766.99</v>
      </c>
      <c r="K704" s="96">
        <v>133</v>
      </c>
      <c r="L704" s="97">
        <f>'виды работ  (2)'!C703</f>
        <v>186050</v>
      </c>
      <c r="M704" s="97">
        <v>0</v>
      </c>
      <c r="N704" s="97">
        <v>0</v>
      </c>
      <c r="O704" s="97">
        <v>0</v>
      </c>
      <c r="P704" s="97">
        <f t="shared" si="154"/>
        <v>186050</v>
      </c>
      <c r="Q704" s="97">
        <f t="shared" si="155"/>
        <v>60.60457995374442</v>
      </c>
      <c r="R704" s="97">
        <v>42000</v>
      </c>
      <c r="S704" s="55" t="s">
        <v>843</v>
      </c>
      <c r="T704" s="92" t="s">
        <v>773</v>
      </c>
      <c r="U704" s="190"/>
      <c r="X704" s="190"/>
    </row>
    <row r="705" spans="1:24" s="186" customFormat="1" ht="15">
      <c r="A705" s="96">
        <f t="shared" si="153"/>
        <v>529</v>
      </c>
      <c r="B705" s="188" t="s">
        <v>513</v>
      </c>
      <c r="C705" s="92">
        <v>1964</v>
      </c>
      <c r="D705" s="95"/>
      <c r="E705" s="92" t="s">
        <v>94</v>
      </c>
      <c r="F705" s="95">
        <v>5</v>
      </c>
      <c r="G705" s="95">
        <v>4</v>
      </c>
      <c r="H705" s="97">
        <v>3716.1</v>
      </c>
      <c r="I705" s="97">
        <v>3379.3</v>
      </c>
      <c r="J705" s="97">
        <v>3293.2</v>
      </c>
      <c r="K705" s="96">
        <v>184</v>
      </c>
      <c r="L705" s="97">
        <f>'виды работ  (2)'!C704</f>
        <v>280705</v>
      </c>
      <c r="M705" s="97">
        <v>0</v>
      </c>
      <c r="N705" s="97">
        <v>0</v>
      </c>
      <c r="O705" s="97">
        <v>0</v>
      </c>
      <c r="P705" s="97">
        <f t="shared" si="154"/>
        <v>280705</v>
      </c>
      <c r="Q705" s="97">
        <f t="shared" si="155"/>
        <v>75.53752590081</v>
      </c>
      <c r="R705" s="97">
        <v>42000</v>
      </c>
      <c r="S705" s="55" t="s">
        <v>843</v>
      </c>
      <c r="T705" s="92" t="s">
        <v>773</v>
      </c>
      <c r="U705" s="190"/>
      <c r="X705" s="190"/>
    </row>
    <row r="706" spans="1:24" s="186" customFormat="1" ht="15">
      <c r="A706" s="96">
        <f t="shared" si="153"/>
        <v>530</v>
      </c>
      <c r="B706" s="188" t="s">
        <v>520</v>
      </c>
      <c r="C706" s="92">
        <v>1964</v>
      </c>
      <c r="D706" s="95"/>
      <c r="E706" s="92" t="s">
        <v>94</v>
      </c>
      <c r="F706" s="95">
        <v>5</v>
      </c>
      <c r="G706" s="95">
        <v>4</v>
      </c>
      <c r="H706" s="97">
        <v>3716.1</v>
      </c>
      <c r="I706" s="97">
        <v>3295.3</v>
      </c>
      <c r="J706" s="97">
        <v>3052.4</v>
      </c>
      <c r="K706" s="96">
        <v>189</v>
      </c>
      <c r="L706" s="97">
        <f>'виды работ  (2)'!C705</f>
        <v>194051</v>
      </c>
      <c r="M706" s="97">
        <v>0</v>
      </c>
      <c r="N706" s="97">
        <v>0</v>
      </c>
      <c r="O706" s="97">
        <v>0</v>
      </c>
      <c r="P706" s="97">
        <f t="shared" si="154"/>
        <v>194051</v>
      </c>
      <c r="Q706" s="97">
        <f t="shared" si="155"/>
        <v>52.218993030327496</v>
      </c>
      <c r="R706" s="97">
        <v>42000</v>
      </c>
      <c r="S706" s="55" t="s">
        <v>843</v>
      </c>
      <c r="T706" s="92" t="s">
        <v>773</v>
      </c>
      <c r="U706" s="190"/>
      <c r="X706" s="190"/>
    </row>
    <row r="707" spans="1:24" s="44" customFormat="1" ht="18" customHeight="1">
      <c r="A707" s="96">
        <f t="shared" si="153"/>
        <v>531</v>
      </c>
      <c r="B707" s="88" t="s">
        <v>523</v>
      </c>
      <c r="C707" s="39">
        <v>1961</v>
      </c>
      <c r="D707" s="97"/>
      <c r="E707" s="92" t="s">
        <v>700</v>
      </c>
      <c r="F707" s="10">
        <v>3</v>
      </c>
      <c r="G707" s="10">
        <v>3</v>
      </c>
      <c r="H707" s="86">
        <v>1522.6</v>
      </c>
      <c r="I707" s="86">
        <v>1522.6</v>
      </c>
      <c r="J707" s="97">
        <v>1032</v>
      </c>
      <c r="K707" s="96">
        <v>84</v>
      </c>
      <c r="L707" s="97">
        <f>'виды работ  (2)'!C706</f>
        <v>1203404</v>
      </c>
      <c r="M707" s="97">
        <v>0</v>
      </c>
      <c r="N707" s="97">
        <v>0</v>
      </c>
      <c r="O707" s="97">
        <v>0</v>
      </c>
      <c r="P707" s="97">
        <f t="shared" si="154"/>
        <v>1203404</v>
      </c>
      <c r="Q707" s="97">
        <f t="shared" si="155"/>
        <v>790.361224221726</v>
      </c>
      <c r="R707" s="97">
        <v>42000</v>
      </c>
      <c r="S707" s="55" t="s">
        <v>843</v>
      </c>
      <c r="T707" s="92" t="s">
        <v>773</v>
      </c>
      <c r="U707" s="190"/>
      <c r="X707" s="190"/>
    </row>
    <row r="708" spans="1:24" s="186" customFormat="1" ht="15">
      <c r="A708" s="96">
        <f t="shared" si="153"/>
        <v>532</v>
      </c>
      <c r="B708" s="188" t="s">
        <v>516</v>
      </c>
      <c r="C708" s="92">
        <v>1961</v>
      </c>
      <c r="D708" s="95"/>
      <c r="E708" s="92" t="s">
        <v>94</v>
      </c>
      <c r="F708" s="95">
        <v>3</v>
      </c>
      <c r="G708" s="95">
        <v>2</v>
      </c>
      <c r="H708" s="97">
        <v>949.7</v>
      </c>
      <c r="I708" s="97">
        <v>949.7</v>
      </c>
      <c r="J708" s="97">
        <v>865.2</v>
      </c>
      <c r="K708" s="96">
        <v>45</v>
      </c>
      <c r="L708" s="97">
        <f>'виды работ  (2)'!C707</f>
        <v>95966</v>
      </c>
      <c r="M708" s="97">
        <v>0</v>
      </c>
      <c r="N708" s="97">
        <v>0</v>
      </c>
      <c r="O708" s="97">
        <v>0</v>
      </c>
      <c r="P708" s="97">
        <f t="shared" si="154"/>
        <v>95966</v>
      </c>
      <c r="Q708" s="97">
        <f t="shared" si="155"/>
        <v>101.0487522375487</v>
      </c>
      <c r="R708" s="97">
        <v>42000</v>
      </c>
      <c r="S708" s="55" t="s">
        <v>843</v>
      </c>
      <c r="T708" s="92" t="s">
        <v>773</v>
      </c>
      <c r="U708" s="190"/>
      <c r="X708" s="190"/>
    </row>
    <row r="709" spans="1:24" s="186" customFormat="1" ht="15">
      <c r="A709" s="96">
        <f t="shared" si="153"/>
        <v>533</v>
      </c>
      <c r="B709" s="188" t="s">
        <v>517</v>
      </c>
      <c r="C709" s="92">
        <v>1962</v>
      </c>
      <c r="D709" s="95"/>
      <c r="E709" s="92" t="s">
        <v>94</v>
      </c>
      <c r="F709" s="95">
        <v>3</v>
      </c>
      <c r="G709" s="95">
        <v>3</v>
      </c>
      <c r="H709" s="97">
        <v>1484.6</v>
      </c>
      <c r="I709" s="97">
        <v>1484.6</v>
      </c>
      <c r="J709" s="97">
        <v>1434.16</v>
      </c>
      <c r="K709" s="96">
        <v>77</v>
      </c>
      <c r="L709" s="97">
        <f>'виды работ  (2)'!C708</f>
        <v>111671</v>
      </c>
      <c r="M709" s="97">
        <v>0</v>
      </c>
      <c r="N709" s="97">
        <v>0</v>
      </c>
      <c r="O709" s="97">
        <v>0</v>
      </c>
      <c r="P709" s="97">
        <f t="shared" si="154"/>
        <v>111671</v>
      </c>
      <c r="Q709" s="97">
        <f t="shared" si="155"/>
        <v>75.21958776774889</v>
      </c>
      <c r="R709" s="97">
        <v>42000</v>
      </c>
      <c r="S709" s="55" t="s">
        <v>843</v>
      </c>
      <c r="T709" s="92" t="s">
        <v>773</v>
      </c>
      <c r="U709" s="190"/>
      <c r="X709" s="190"/>
    </row>
    <row r="710" spans="1:24" s="186" customFormat="1" ht="15">
      <c r="A710" s="96">
        <f t="shared" si="153"/>
        <v>534</v>
      </c>
      <c r="B710" s="188" t="s">
        <v>524</v>
      </c>
      <c r="C710" s="92">
        <v>1961</v>
      </c>
      <c r="D710" s="95"/>
      <c r="E710" s="92" t="s">
        <v>94</v>
      </c>
      <c r="F710" s="95">
        <v>4</v>
      </c>
      <c r="G710" s="95">
        <v>3</v>
      </c>
      <c r="H710" s="97">
        <v>2043.8</v>
      </c>
      <c r="I710" s="97">
        <v>2039.59</v>
      </c>
      <c r="J710" s="97">
        <v>1954.74</v>
      </c>
      <c r="K710" s="96">
        <v>90</v>
      </c>
      <c r="L710" s="97">
        <f>'виды работ  (2)'!C709</f>
        <v>132646</v>
      </c>
      <c r="M710" s="97">
        <v>0</v>
      </c>
      <c r="N710" s="97">
        <v>0</v>
      </c>
      <c r="O710" s="97">
        <v>0</v>
      </c>
      <c r="P710" s="97">
        <f t="shared" si="154"/>
        <v>132646</v>
      </c>
      <c r="Q710" s="97">
        <f t="shared" si="155"/>
        <v>64.90165378217047</v>
      </c>
      <c r="R710" s="97">
        <v>42000</v>
      </c>
      <c r="S710" s="55" t="s">
        <v>843</v>
      </c>
      <c r="T710" s="92" t="s">
        <v>773</v>
      </c>
      <c r="U710" s="190"/>
      <c r="X710" s="190"/>
    </row>
    <row r="711" spans="1:24" s="186" customFormat="1" ht="15">
      <c r="A711" s="96">
        <f t="shared" si="153"/>
        <v>535</v>
      </c>
      <c r="B711" s="188" t="s">
        <v>521</v>
      </c>
      <c r="C711" s="92">
        <v>1963</v>
      </c>
      <c r="D711" s="95"/>
      <c r="E711" s="92" t="s">
        <v>94</v>
      </c>
      <c r="F711" s="95">
        <v>4</v>
      </c>
      <c r="G711" s="95">
        <v>3</v>
      </c>
      <c r="H711" s="97">
        <v>1518.8</v>
      </c>
      <c r="I711" s="97">
        <v>1515.01</v>
      </c>
      <c r="J711" s="97">
        <v>1444.3</v>
      </c>
      <c r="K711" s="96">
        <v>73</v>
      </c>
      <c r="L711" s="97">
        <f>'виды работ  (2)'!C710</f>
        <v>105377</v>
      </c>
      <c r="M711" s="97">
        <v>0</v>
      </c>
      <c r="N711" s="97">
        <v>0</v>
      </c>
      <c r="O711" s="97">
        <v>0</v>
      </c>
      <c r="P711" s="97">
        <f t="shared" si="154"/>
        <v>105377</v>
      </c>
      <c r="Q711" s="97">
        <f t="shared" si="155"/>
        <v>69.38174874901237</v>
      </c>
      <c r="R711" s="97">
        <v>42000</v>
      </c>
      <c r="S711" s="55" t="s">
        <v>843</v>
      </c>
      <c r="T711" s="92" t="s">
        <v>773</v>
      </c>
      <c r="U711" s="190"/>
      <c r="X711" s="190"/>
    </row>
    <row r="712" spans="1:24" s="186" customFormat="1" ht="15">
      <c r="A712" s="96">
        <f t="shared" si="153"/>
        <v>536</v>
      </c>
      <c r="B712" s="188" t="s">
        <v>522</v>
      </c>
      <c r="C712" s="92">
        <v>1967</v>
      </c>
      <c r="D712" s="95"/>
      <c r="E712" s="92" t="s">
        <v>94</v>
      </c>
      <c r="F712" s="95">
        <v>5</v>
      </c>
      <c r="G712" s="95">
        <v>4</v>
      </c>
      <c r="H712" s="97">
        <v>3331.7</v>
      </c>
      <c r="I712" s="97">
        <v>1438.36</v>
      </c>
      <c r="J712" s="97">
        <v>1434.16</v>
      </c>
      <c r="K712" s="96">
        <v>157</v>
      </c>
      <c r="L712" s="97">
        <f>'виды работ  (2)'!C711</f>
        <v>194194</v>
      </c>
      <c r="M712" s="97">
        <v>0</v>
      </c>
      <c r="N712" s="97">
        <v>0</v>
      </c>
      <c r="O712" s="97">
        <v>0</v>
      </c>
      <c r="P712" s="97">
        <f t="shared" si="154"/>
        <v>194194</v>
      </c>
      <c r="Q712" s="97">
        <f t="shared" si="155"/>
        <v>58.2867605126512</v>
      </c>
      <c r="R712" s="97">
        <v>42000</v>
      </c>
      <c r="S712" s="55" t="s">
        <v>843</v>
      </c>
      <c r="T712" s="92" t="s">
        <v>773</v>
      </c>
      <c r="U712" s="190"/>
      <c r="X712" s="190"/>
    </row>
    <row r="713" spans="1:24" s="186" customFormat="1" ht="15">
      <c r="A713" s="96">
        <f t="shared" si="153"/>
        <v>537</v>
      </c>
      <c r="B713" s="188" t="s">
        <v>514</v>
      </c>
      <c r="C713" s="92">
        <v>1975</v>
      </c>
      <c r="D713" s="95"/>
      <c r="E713" s="92" t="s">
        <v>94</v>
      </c>
      <c r="F713" s="95">
        <v>9</v>
      </c>
      <c r="G713" s="95">
        <v>1</v>
      </c>
      <c r="H713" s="97">
        <v>6556.4</v>
      </c>
      <c r="I713" s="97">
        <v>4974.68</v>
      </c>
      <c r="J713" s="97">
        <v>4431.31</v>
      </c>
      <c r="K713" s="96">
        <v>256</v>
      </c>
      <c r="L713" s="97">
        <f>'виды работ  (2)'!C712</f>
        <v>673730</v>
      </c>
      <c r="M713" s="97">
        <v>0</v>
      </c>
      <c r="N713" s="97">
        <v>0</v>
      </c>
      <c r="O713" s="97">
        <v>0</v>
      </c>
      <c r="P713" s="97">
        <f t="shared" si="154"/>
        <v>673730</v>
      </c>
      <c r="Q713" s="97">
        <f t="shared" si="155"/>
        <v>102.75913611128058</v>
      </c>
      <c r="R713" s="97">
        <v>42000</v>
      </c>
      <c r="S713" s="55" t="s">
        <v>843</v>
      </c>
      <c r="T713" s="92" t="s">
        <v>773</v>
      </c>
      <c r="U713" s="190"/>
      <c r="X713" s="190"/>
    </row>
    <row r="714" spans="1:24" s="186" customFormat="1" ht="15">
      <c r="A714" s="96">
        <f t="shared" si="153"/>
        <v>538</v>
      </c>
      <c r="B714" s="188" t="s">
        <v>511</v>
      </c>
      <c r="C714" s="92">
        <v>1988</v>
      </c>
      <c r="D714" s="95"/>
      <c r="E714" s="92" t="s">
        <v>94</v>
      </c>
      <c r="F714" s="95">
        <v>9</v>
      </c>
      <c r="G714" s="95">
        <v>3</v>
      </c>
      <c r="H714" s="97">
        <v>5343.7</v>
      </c>
      <c r="I714" s="97">
        <v>5343.7</v>
      </c>
      <c r="J714" s="97">
        <v>5343.7</v>
      </c>
      <c r="K714" s="96">
        <v>218</v>
      </c>
      <c r="L714" s="97">
        <f>'виды работ  (2)'!C713</f>
        <v>1852337</v>
      </c>
      <c r="M714" s="97">
        <v>0</v>
      </c>
      <c r="N714" s="97">
        <v>0</v>
      </c>
      <c r="O714" s="97">
        <v>0</v>
      </c>
      <c r="P714" s="97">
        <f t="shared" si="154"/>
        <v>1852337</v>
      </c>
      <c r="Q714" s="97">
        <f t="shared" si="155"/>
        <v>346.63940715234764</v>
      </c>
      <c r="R714" s="97">
        <v>42000</v>
      </c>
      <c r="S714" s="55" t="s">
        <v>843</v>
      </c>
      <c r="T714" s="92" t="s">
        <v>773</v>
      </c>
      <c r="U714" s="190"/>
      <c r="X714" s="190"/>
    </row>
    <row r="715" spans="1:24" s="186" customFormat="1" ht="15">
      <c r="A715" s="96">
        <f t="shared" si="153"/>
        <v>539</v>
      </c>
      <c r="B715" s="188" t="s">
        <v>518</v>
      </c>
      <c r="C715" s="92">
        <v>1966</v>
      </c>
      <c r="D715" s="95"/>
      <c r="E715" s="92" t="s">
        <v>94</v>
      </c>
      <c r="F715" s="95">
        <v>5</v>
      </c>
      <c r="G715" s="95">
        <v>3</v>
      </c>
      <c r="H715" s="97">
        <v>2760</v>
      </c>
      <c r="I715" s="97">
        <v>2588.5</v>
      </c>
      <c r="J715" s="97">
        <v>2352.4</v>
      </c>
      <c r="K715" s="96">
        <v>130</v>
      </c>
      <c r="L715" s="97">
        <f>'виды работ  (2)'!C714</f>
        <v>163348</v>
      </c>
      <c r="M715" s="97">
        <v>0</v>
      </c>
      <c r="N715" s="97">
        <v>0</v>
      </c>
      <c r="O715" s="97">
        <v>0</v>
      </c>
      <c r="P715" s="97">
        <f t="shared" si="154"/>
        <v>163348</v>
      </c>
      <c r="Q715" s="97">
        <f t="shared" si="155"/>
        <v>59.18405797101449</v>
      </c>
      <c r="R715" s="97">
        <v>42000</v>
      </c>
      <c r="S715" s="55" t="s">
        <v>843</v>
      </c>
      <c r="T715" s="92" t="s">
        <v>773</v>
      </c>
      <c r="U715" s="190"/>
      <c r="X715" s="190"/>
    </row>
    <row r="716" spans="1:24" s="186" customFormat="1" ht="15">
      <c r="A716" s="96">
        <f t="shared" si="153"/>
        <v>540</v>
      </c>
      <c r="B716" s="188" t="s">
        <v>525</v>
      </c>
      <c r="C716" s="92">
        <v>1961</v>
      </c>
      <c r="D716" s="95"/>
      <c r="E716" s="92" t="s">
        <v>94</v>
      </c>
      <c r="F716" s="95">
        <v>3</v>
      </c>
      <c r="G716" s="95">
        <v>2</v>
      </c>
      <c r="H716" s="97">
        <v>957.2</v>
      </c>
      <c r="I716" s="97">
        <v>957.2</v>
      </c>
      <c r="J716" s="97">
        <v>886.9</v>
      </c>
      <c r="K716" s="96">
        <v>67</v>
      </c>
      <c r="L716" s="97">
        <f>'виды работ  (2)'!C715</f>
        <v>94987</v>
      </c>
      <c r="M716" s="97">
        <v>0</v>
      </c>
      <c r="N716" s="97">
        <v>0</v>
      </c>
      <c r="O716" s="97">
        <v>0</v>
      </c>
      <c r="P716" s="97">
        <f t="shared" si="154"/>
        <v>94987</v>
      </c>
      <c r="Q716" s="97">
        <f t="shared" si="155"/>
        <v>99.23422482239866</v>
      </c>
      <c r="R716" s="97">
        <v>42000</v>
      </c>
      <c r="S716" s="55" t="s">
        <v>843</v>
      </c>
      <c r="T716" s="92" t="s">
        <v>773</v>
      </c>
      <c r="U716" s="190"/>
      <c r="X716" s="190"/>
    </row>
    <row r="717" spans="1:24" s="186" customFormat="1" ht="15">
      <c r="A717" s="96">
        <f t="shared" si="153"/>
        <v>541</v>
      </c>
      <c r="B717" s="188" t="s">
        <v>528</v>
      </c>
      <c r="C717" s="92">
        <v>1960</v>
      </c>
      <c r="D717" s="95"/>
      <c r="E717" s="92" t="s">
        <v>94</v>
      </c>
      <c r="F717" s="95">
        <v>2</v>
      </c>
      <c r="G717" s="95">
        <v>2</v>
      </c>
      <c r="H717" s="97">
        <v>639.4</v>
      </c>
      <c r="I717" s="97">
        <v>637</v>
      </c>
      <c r="J717" s="97">
        <v>590.9</v>
      </c>
      <c r="K717" s="96">
        <v>39</v>
      </c>
      <c r="L717" s="97">
        <f>'виды работ  (2)'!C716</f>
        <v>91161</v>
      </c>
      <c r="M717" s="97">
        <v>0</v>
      </c>
      <c r="N717" s="97">
        <v>0</v>
      </c>
      <c r="O717" s="97">
        <v>0</v>
      </c>
      <c r="P717" s="97">
        <f t="shared" si="154"/>
        <v>91161</v>
      </c>
      <c r="Q717" s="97">
        <f t="shared" si="155"/>
        <v>142.57272442915234</v>
      </c>
      <c r="R717" s="97">
        <v>42000</v>
      </c>
      <c r="S717" s="55" t="s">
        <v>843</v>
      </c>
      <c r="T717" s="92" t="s">
        <v>773</v>
      </c>
      <c r="U717" s="190"/>
      <c r="X717" s="190"/>
    </row>
    <row r="718" spans="1:24" s="43" customFormat="1" ht="18" customHeight="1">
      <c r="A718" s="96">
        <f t="shared" si="153"/>
        <v>542</v>
      </c>
      <c r="B718" s="88" t="s">
        <v>531</v>
      </c>
      <c r="C718" s="39">
        <v>1961</v>
      </c>
      <c r="D718" s="97"/>
      <c r="E718" s="92" t="s">
        <v>700</v>
      </c>
      <c r="F718" s="10">
        <v>3</v>
      </c>
      <c r="G718" s="10">
        <v>2</v>
      </c>
      <c r="H718" s="86">
        <v>964.4</v>
      </c>
      <c r="I718" s="86">
        <v>964.4</v>
      </c>
      <c r="J718" s="97">
        <v>914.4</v>
      </c>
      <c r="K718" s="96">
        <v>43</v>
      </c>
      <c r="L718" s="97">
        <f>'виды работ  (2)'!C717</f>
        <v>1065170</v>
      </c>
      <c r="M718" s="97">
        <v>0</v>
      </c>
      <c r="N718" s="97">
        <v>0</v>
      </c>
      <c r="O718" s="97">
        <v>0</v>
      </c>
      <c r="P718" s="97">
        <f t="shared" si="154"/>
        <v>1065170</v>
      </c>
      <c r="Q718" s="97">
        <f t="shared" si="155"/>
        <v>1104.4898382413937</v>
      </c>
      <c r="R718" s="97">
        <v>42000</v>
      </c>
      <c r="S718" s="55" t="s">
        <v>843</v>
      </c>
      <c r="T718" s="92" t="s">
        <v>773</v>
      </c>
      <c r="U718" s="190"/>
      <c r="X718" s="190"/>
    </row>
    <row r="719" spans="1:24" s="186" customFormat="1" ht="15">
      <c r="A719" s="96">
        <f t="shared" si="153"/>
        <v>543</v>
      </c>
      <c r="B719" s="188" t="s">
        <v>526</v>
      </c>
      <c r="C719" s="92">
        <v>1960</v>
      </c>
      <c r="D719" s="95"/>
      <c r="E719" s="92" t="s">
        <v>94</v>
      </c>
      <c r="F719" s="95">
        <v>2</v>
      </c>
      <c r="G719" s="95">
        <v>2</v>
      </c>
      <c r="H719" s="97">
        <v>638</v>
      </c>
      <c r="I719" s="97">
        <v>638</v>
      </c>
      <c r="J719" s="97">
        <v>599.4</v>
      </c>
      <c r="K719" s="96">
        <v>37</v>
      </c>
      <c r="L719" s="97">
        <f>'виды работ  (2)'!C718</f>
        <v>91161</v>
      </c>
      <c r="M719" s="97">
        <v>0</v>
      </c>
      <c r="N719" s="97">
        <v>0</v>
      </c>
      <c r="O719" s="97">
        <v>0</v>
      </c>
      <c r="P719" s="97">
        <f t="shared" si="154"/>
        <v>91161</v>
      </c>
      <c r="Q719" s="97">
        <f t="shared" si="155"/>
        <v>142.88557993730407</v>
      </c>
      <c r="R719" s="97">
        <v>42000</v>
      </c>
      <c r="S719" s="55" t="s">
        <v>843</v>
      </c>
      <c r="T719" s="92" t="s">
        <v>773</v>
      </c>
      <c r="U719" s="190"/>
      <c r="X719" s="190"/>
    </row>
    <row r="720" spans="1:24" s="186" customFormat="1" ht="15">
      <c r="A720" s="96">
        <f t="shared" si="153"/>
        <v>544</v>
      </c>
      <c r="B720" s="188" t="s">
        <v>527</v>
      </c>
      <c r="C720" s="92">
        <v>1960</v>
      </c>
      <c r="D720" s="95"/>
      <c r="E720" s="92" t="s">
        <v>94</v>
      </c>
      <c r="F720" s="95">
        <v>2</v>
      </c>
      <c r="G720" s="95">
        <v>2</v>
      </c>
      <c r="H720" s="97">
        <v>640.8</v>
      </c>
      <c r="I720" s="97">
        <v>640.8</v>
      </c>
      <c r="J720" s="97">
        <v>553.7</v>
      </c>
      <c r="K720" s="96">
        <v>30</v>
      </c>
      <c r="L720" s="97">
        <f>'виды работ  (2)'!C719</f>
        <v>91161</v>
      </c>
      <c r="M720" s="97">
        <v>0</v>
      </c>
      <c r="N720" s="97">
        <v>0</v>
      </c>
      <c r="O720" s="97">
        <v>0</v>
      </c>
      <c r="P720" s="97">
        <f t="shared" si="154"/>
        <v>91161</v>
      </c>
      <c r="Q720" s="97">
        <f t="shared" si="155"/>
        <v>142.26123595505618</v>
      </c>
      <c r="R720" s="97">
        <v>42000</v>
      </c>
      <c r="S720" s="55" t="s">
        <v>843</v>
      </c>
      <c r="T720" s="92" t="s">
        <v>773</v>
      </c>
      <c r="U720" s="190"/>
      <c r="X720" s="190"/>
    </row>
    <row r="721" spans="1:24" s="43" customFormat="1" ht="18" customHeight="1">
      <c r="A721" s="96">
        <f t="shared" si="153"/>
        <v>545</v>
      </c>
      <c r="B721" s="88" t="s">
        <v>530</v>
      </c>
      <c r="C721" s="39">
        <v>1960</v>
      </c>
      <c r="D721" s="97"/>
      <c r="E721" s="92" t="s">
        <v>700</v>
      </c>
      <c r="F721" s="10">
        <v>2</v>
      </c>
      <c r="G721" s="10">
        <v>2</v>
      </c>
      <c r="H721" s="86">
        <v>644</v>
      </c>
      <c r="I721" s="86">
        <v>644</v>
      </c>
      <c r="J721" s="97">
        <v>614</v>
      </c>
      <c r="K721" s="96">
        <v>32</v>
      </c>
      <c r="L721" s="97">
        <f>'виды работ  (2)'!C720</f>
        <v>1113326</v>
      </c>
      <c r="M721" s="97">
        <v>0</v>
      </c>
      <c r="N721" s="97">
        <v>0</v>
      </c>
      <c r="O721" s="97">
        <v>0</v>
      </c>
      <c r="P721" s="97">
        <f t="shared" si="154"/>
        <v>1113326</v>
      </c>
      <c r="Q721" s="97">
        <f t="shared" si="155"/>
        <v>1728.7670807453417</v>
      </c>
      <c r="R721" s="97">
        <v>42000</v>
      </c>
      <c r="S721" s="55" t="s">
        <v>843</v>
      </c>
      <c r="T721" s="92" t="s">
        <v>773</v>
      </c>
      <c r="U721" s="190"/>
      <c r="X721" s="190"/>
    </row>
    <row r="722" spans="1:24" s="186" customFormat="1" ht="15">
      <c r="A722" s="96">
        <f t="shared" si="153"/>
        <v>546</v>
      </c>
      <c r="B722" s="188" t="s">
        <v>529</v>
      </c>
      <c r="C722" s="92">
        <v>1960</v>
      </c>
      <c r="D722" s="95"/>
      <c r="E722" s="92" t="s">
        <v>94</v>
      </c>
      <c r="F722" s="95">
        <v>2</v>
      </c>
      <c r="G722" s="95">
        <v>2</v>
      </c>
      <c r="H722" s="97">
        <v>640.5</v>
      </c>
      <c r="I722" s="97">
        <v>640.5</v>
      </c>
      <c r="J722" s="97">
        <v>525.9</v>
      </c>
      <c r="K722" s="96">
        <v>29</v>
      </c>
      <c r="L722" s="97">
        <f>'виды работ  (2)'!C721</f>
        <v>91161</v>
      </c>
      <c r="M722" s="97">
        <v>0</v>
      </c>
      <c r="N722" s="97">
        <v>0</v>
      </c>
      <c r="O722" s="97">
        <v>0</v>
      </c>
      <c r="P722" s="97">
        <f t="shared" si="154"/>
        <v>91161</v>
      </c>
      <c r="Q722" s="97">
        <f t="shared" si="155"/>
        <v>142.327868852459</v>
      </c>
      <c r="R722" s="97">
        <v>42000</v>
      </c>
      <c r="S722" s="55" t="s">
        <v>843</v>
      </c>
      <c r="T722" s="92" t="s">
        <v>773</v>
      </c>
      <c r="U722" s="190"/>
      <c r="X722" s="190"/>
    </row>
    <row r="723" spans="1:24" s="186" customFormat="1" ht="15">
      <c r="A723" s="96">
        <f t="shared" si="153"/>
        <v>547</v>
      </c>
      <c r="B723" s="188" t="s">
        <v>794</v>
      </c>
      <c r="C723" s="77">
        <v>1979</v>
      </c>
      <c r="D723" s="77"/>
      <c r="E723" s="95" t="s">
        <v>442</v>
      </c>
      <c r="F723" s="77">
        <v>9</v>
      </c>
      <c r="G723" s="77">
        <v>6</v>
      </c>
      <c r="H723" s="71">
        <v>12483</v>
      </c>
      <c r="I723" s="71">
        <v>11198</v>
      </c>
      <c r="J723" s="71">
        <v>10050.9</v>
      </c>
      <c r="K723" s="197">
        <v>549</v>
      </c>
      <c r="L723" s="97">
        <f>'виды работ  (2)'!C722</f>
        <v>16513701</v>
      </c>
      <c r="M723" s="97">
        <v>0</v>
      </c>
      <c r="N723" s="97">
        <v>0</v>
      </c>
      <c r="O723" s="97">
        <v>0</v>
      </c>
      <c r="P723" s="97">
        <f t="shared" si="154"/>
        <v>16513701</v>
      </c>
      <c r="Q723" s="97">
        <f t="shared" si="155"/>
        <v>1322.8952174957942</v>
      </c>
      <c r="R723" s="97">
        <v>42000</v>
      </c>
      <c r="S723" s="55" t="s">
        <v>843</v>
      </c>
      <c r="T723" s="92" t="s">
        <v>773</v>
      </c>
      <c r="U723" s="190"/>
      <c r="X723" s="190"/>
    </row>
    <row r="724" spans="1:24" s="43" customFormat="1" ht="19.5" customHeight="1">
      <c r="A724" s="96">
        <f t="shared" si="153"/>
        <v>548</v>
      </c>
      <c r="B724" s="88" t="s">
        <v>795</v>
      </c>
      <c r="C724" s="77">
        <v>1982</v>
      </c>
      <c r="D724" s="77"/>
      <c r="E724" s="92" t="s">
        <v>94</v>
      </c>
      <c r="F724" s="77">
        <v>9</v>
      </c>
      <c r="G724" s="77">
        <v>1</v>
      </c>
      <c r="H724" s="71">
        <v>2322.2</v>
      </c>
      <c r="I724" s="71">
        <v>1933.8</v>
      </c>
      <c r="J724" s="71">
        <v>1933.8</v>
      </c>
      <c r="K724" s="197">
        <v>87</v>
      </c>
      <c r="L724" s="97">
        <f>'виды работ  (2)'!C723</f>
        <v>2835460</v>
      </c>
      <c r="M724" s="97">
        <v>0</v>
      </c>
      <c r="N724" s="97">
        <v>0</v>
      </c>
      <c r="O724" s="97">
        <v>0</v>
      </c>
      <c r="P724" s="97">
        <f t="shared" si="154"/>
        <v>2835460</v>
      </c>
      <c r="Q724" s="97">
        <f t="shared" si="155"/>
        <v>1221.0231676858152</v>
      </c>
      <c r="R724" s="97">
        <v>42000</v>
      </c>
      <c r="S724" s="55" t="s">
        <v>843</v>
      </c>
      <c r="T724" s="92" t="s">
        <v>773</v>
      </c>
      <c r="U724" s="190"/>
      <c r="X724" s="190"/>
    </row>
    <row r="725" spans="1:24" s="43" customFormat="1" ht="19.5" customHeight="1">
      <c r="A725" s="96">
        <f t="shared" si="153"/>
        <v>549</v>
      </c>
      <c r="B725" s="88" t="s">
        <v>796</v>
      </c>
      <c r="C725" s="77">
        <v>1982</v>
      </c>
      <c r="D725" s="77"/>
      <c r="E725" s="92" t="s">
        <v>94</v>
      </c>
      <c r="F725" s="77">
        <v>9</v>
      </c>
      <c r="G725" s="77">
        <v>1</v>
      </c>
      <c r="H725" s="71">
        <v>2243</v>
      </c>
      <c r="I725" s="71">
        <v>1954</v>
      </c>
      <c r="J725" s="71">
        <v>1791.6</v>
      </c>
      <c r="K725" s="197">
        <v>96</v>
      </c>
      <c r="L725" s="97">
        <f>'виды работ  (2)'!C724</f>
        <v>2835504</v>
      </c>
      <c r="M725" s="97">
        <v>0</v>
      </c>
      <c r="N725" s="97">
        <v>0</v>
      </c>
      <c r="O725" s="97">
        <v>0</v>
      </c>
      <c r="P725" s="97">
        <f t="shared" si="154"/>
        <v>2835504</v>
      </c>
      <c r="Q725" s="97">
        <f t="shared" si="155"/>
        <v>1264.1569326794472</v>
      </c>
      <c r="R725" s="97">
        <v>42000</v>
      </c>
      <c r="S725" s="55" t="s">
        <v>843</v>
      </c>
      <c r="T725" s="92" t="s">
        <v>773</v>
      </c>
      <c r="U725" s="190"/>
      <c r="X725" s="190"/>
    </row>
    <row r="726" spans="1:24" s="186" customFormat="1" ht="15">
      <c r="A726" s="96">
        <f t="shared" si="153"/>
        <v>550</v>
      </c>
      <c r="B726" s="188" t="s">
        <v>512</v>
      </c>
      <c r="C726" s="92">
        <v>1969</v>
      </c>
      <c r="D726" s="95"/>
      <c r="E726" s="95" t="s">
        <v>442</v>
      </c>
      <c r="F726" s="95">
        <v>5</v>
      </c>
      <c r="G726" s="95">
        <v>4</v>
      </c>
      <c r="H726" s="97">
        <v>2746.8</v>
      </c>
      <c r="I726" s="97">
        <v>2746.8</v>
      </c>
      <c r="J726" s="97">
        <v>2546.6</v>
      </c>
      <c r="K726" s="96">
        <v>132</v>
      </c>
      <c r="L726" s="97">
        <f>'виды работ  (2)'!C725</f>
        <v>2738439</v>
      </c>
      <c r="M726" s="97">
        <v>0</v>
      </c>
      <c r="N726" s="97">
        <v>0</v>
      </c>
      <c r="O726" s="97">
        <v>0</v>
      </c>
      <c r="P726" s="97">
        <f t="shared" si="154"/>
        <v>2738439</v>
      </c>
      <c r="Q726" s="97">
        <f t="shared" si="155"/>
        <v>996.9560943643512</v>
      </c>
      <c r="R726" s="97">
        <v>42000</v>
      </c>
      <c r="S726" s="55" t="s">
        <v>843</v>
      </c>
      <c r="T726" s="92" t="s">
        <v>773</v>
      </c>
      <c r="U726" s="190"/>
      <c r="X726" s="190"/>
    </row>
    <row r="727" spans="1:24" s="186" customFormat="1" ht="15">
      <c r="A727" s="96">
        <f t="shared" si="153"/>
        <v>551</v>
      </c>
      <c r="B727" s="188" t="s">
        <v>515</v>
      </c>
      <c r="C727" s="92">
        <v>1971</v>
      </c>
      <c r="D727" s="95"/>
      <c r="E727" s="92" t="s">
        <v>94</v>
      </c>
      <c r="F727" s="95">
        <v>5</v>
      </c>
      <c r="G727" s="95">
        <v>3</v>
      </c>
      <c r="H727" s="97">
        <v>2972.2</v>
      </c>
      <c r="I727" s="97">
        <v>2967.7</v>
      </c>
      <c r="J727" s="97">
        <v>2168.7</v>
      </c>
      <c r="K727" s="96">
        <v>263</v>
      </c>
      <c r="L727" s="97">
        <f>'виды работ  (2)'!C726</f>
        <v>755199</v>
      </c>
      <c r="M727" s="97">
        <v>0</v>
      </c>
      <c r="N727" s="97">
        <v>0</v>
      </c>
      <c r="O727" s="97">
        <v>0</v>
      </c>
      <c r="P727" s="97">
        <f t="shared" si="154"/>
        <v>755199</v>
      </c>
      <c r="Q727" s="97">
        <f t="shared" si="155"/>
        <v>254.08754457977258</v>
      </c>
      <c r="R727" s="97">
        <v>42000</v>
      </c>
      <c r="S727" s="55" t="s">
        <v>843</v>
      </c>
      <c r="T727" s="92" t="s">
        <v>773</v>
      </c>
      <c r="U727" s="190"/>
      <c r="X727" s="190"/>
    </row>
    <row r="728" spans="1:24" s="186" customFormat="1" ht="15">
      <c r="A728" s="96">
        <f t="shared" si="153"/>
        <v>552</v>
      </c>
      <c r="B728" s="188" t="s">
        <v>509</v>
      </c>
      <c r="C728" s="92">
        <v>1985</v>
      </c>
      <c r="D728" s="95"/>
      <c r="E728" s="92" t="s">
        <v>94</v>
      </c>
      <c r="F728" s="95" t="s">
        <v>532</v>
      </c>
      <c r="G728" s="95">
        <v>1</v>
      </c>
      <c r="H728" s="97">
        <v>4854.7</v>
      </c>
      <c r="I728" s="97">
        <v>4610.8</v>
      </c>
      <c r="J728" s="97">
        <v>4232.8</v>
      </c>
      <c r="K728" s="96">
        <v>224</v>
      </c>
      <c r="L728" s="97">
        <f>'виды работ  (2)'!C727</f>
        <v>797274</v>
      </c>
      <c r="M728" s="97">
        <v>0</v>
      </c>
      <c r="N728" s="97">
        <v>0</v>
      </c>
      <c r="O728" s="97">
        <v>0</v>
      </c>
      <c r="P728" s="97">
        <f t="shared" si="154"/>
        <v>797274</v>
      </c>
      <c r="Q728" s="97">
        <f t="shared" si="155"/>
        <v>164.22724370197952</v>
      </c>
      <c r="R728" s="97">
        <v>42000</v>
      </c>
      <c r="S728" s="55" t="s">
        <v>843</v>
      </c>
      <c r="T728" s="92" t="s">
        <v>773</v>
      </c>
      <c r="U728" s="190"/>
      <c r="X728" s="190"/>
    </row>
    <row r="729" spans="1:24" s="44" customFormat="1" ht="18" customHeight="1">
      <c r="A729" s="96">
        <f t="shared" si="153"/>
        <v>553</v>
      </c>
      <c r="B729" s="88" t="s">
        <v>793</v>
      </c>
      <c r="C729" s="79">
        <v>1980</v>
      </c>
      <c r="D729" s="22"/>
      <c r="E729" s="92" t="s">
        <v>94</v>
      </c>
      <c r="F729" s="32">
        <v>9</v>
      </c>
      <c r="G729" s="32">
        <v>1</v>
      </c>
      <c r="H729" s="22">
        <v>6080.6</v>
      </c>
      <c r="I729" s="22">
        <v>6080.6</v>
      </c>
      <c r="J729" s="22">
        <v>3128</v>
      </c>
      <c r="K729" s="32">
        <v>262</v>
      </c>
      <c r="L729" s="97">
        <f>'виды работ  (2)'!C728</f>
        <v>2835494</v>
      </c>
      <c r="M729" s="97">
        <v>0</v>
      </c>
      <c r="N729" s="97">
        <v>0</v>
      </c>
      <c r="O729" s="97">
        <v>0</v>
      </c>
      <c r="P729" s="97">
        <f t="shared" si="154"/>
        <v>2835494</v>
      </c>
      <c r="Q729" s="97">
        <f t="shared" si="155"/>
        <v>466.3181265006742</v>
      </c>
      <c r="R729" s="97">
        <v>42000</v>
      </c>
      <c r="S729" s="55" t="s">
        <v>843</v>
      </c>
      <c r="T729" s="92" t="s">
        <v>773</v>
      </c>
      <c r="U729" s="190"/>
      <c r="X729" s="190"/>
    </row>
    <row r="730" spans="1:24" s="186" customFormat="1" ht="15">
      <c r="A730" s="140" t="s">
        <v>597</v>
      </c>
      <c r="B730" s="140"/>
      <c r="C730" s="81" t="s">
        <v>430</v>
      </c>
      <c r="D730" s="81" t="s">
        <v>430</v>
      </c>
      <c r="E730" s="81" t="s">
        <v>430</v>
      </c>
      <c r="F730" s="81" t="s">
        <v>430</v>
      </c>
      <c r="G730" s="81" t="s">
        <v>430</v>
      </c>
      <c r="H730" s="97">
        <f aca="true" t="shared" si="156" ref="H730:P730">SUM(H698:H729)</f>
        <v>93963.8</v>
      </c>
      <c r="I730" s="97">
        <f t="shared" si="156"/>
        <v>87088.75</v>
      </c>
      <c r="J730" s="97">
        <f t="shared" si="156"/>
        <v>74467.26000000001</v>
      </c>
      <c r="K730" s="96">
        <f t="shared" si="156"/>
        <v>4368</v>
      </c>
      <c r="L730" s="97">
        <f t="shared" si="156"/>
        <v>63876493</v>
      </c>
      <c r="M730" s="97">
        <f t="shared" si="156"/>
        <v>0</v>
      </c>
      <c r="N730" s="97">
        <f t="shared" si="156"/>
        <v>0</v>
      </c>
      <c r="O730" s="97">
        <f t="shared" si="156"/>
        <v>0</v>
      </c>
      <c r="P730" s="97">
        <f t="shared" si="156"/>
        <v>63876493</v>
      </c>
      <c r="Q730" s="97">
        <f>L730/H730</f>
        <v>679.7989544909848</v>
      </c>
      <c r="R730" s="56" t="s">
        <v>430</v>
      </c>
      <c r="S730" s="56" t="s">
        <v>430</v>
      </c>
      <c r="T730" s="56" t="s">
        <v>430</v>
      </c>
      <c r="U730" s="190"/>
      <c r="X730" s="190"/>
    </row>
    <row r="731" spans="1:24" s="186" customFormat="1" ht="15">
      <c r="A731" s="223" t="s">
        <v>665</v>
      </c>
      <c r="B731" s="224"/>
      <c r="C731" s="224"/>
      <c r="D731" s="224"/>
      <c r="E731" s="224"/>
      <c r="F731" s="224"/>
      <c r="G731" s="224"/>
      <c r="H731" s="224"/>
      <c r="I731" s="224"/>
      <c r="J731" s="224"/>
      <c r="K731" s="224"/>
      <c r="L731" s="224"/>
      <c r="M731" s="224"/>
      <c r="N731" s="224"/>
      <c r="O731" s="224"/>
      <c r="P731" s="224"/>
      <c r="Q731" s="224"/>
      <c r="R731" s="224"/>
      <c r="S731" s="224"/>
      <c r="T731" s="225"/>
      <c r="X731" s="190"/>
    </row>
    <row r="732" spans="1:24" s="186" customFormat="1" ht="15">
      <c r="A732" s="105" t="s">
        <v>666</v>
      </c>
      <c r="B732" s="110"/>
      <c r="C732" s="110"/>
      <c r="D732" s="110"/>
      <c r="E732" s="106"/>
      <c r="F732" s="178"/>
      <c r="G732" s="178"/>
      <c r="H732" s="178"/>
      <c r="I732" s="178"/>
      <c r="J732" s="178"/>
      <c r="K732" s="178"/>
      <c r="L732" s="178"/>
      <c r="M732" s="178"/>
      <c r="N732" s="178"/>
      <c r="O732" s="178"/>
      <c r="P732" s="178"/>
      <c r="Q732" s="178"/>
      <c r="R732" s="178"/>
      <c r="S732" s="178"/>
      <c r="T732" s="178"/>
      <c r="X732" s="190"/>
    </row>
    <row r="733" spans="1:24" s="43" customFormat="1" ht="15">
      <c r="A733" s="10">
        <f>A729+1</f>
        <v>554</v>
      </c>
      <c r="B733" s="82" t="s">
        <v>765</v>
      </c>
      <c r="C733" s="39">
        <v>1965</v>
      </c>
      <c r="D733" s="86"/>
      <c r="E733" s="92" t="s">
        <v>94</v>
      </c>
      <c r="F733" s="10">
        <v>5</v>
      </c>
      <c r="G733" s="10">
        <v>6</v>
      </c>
      <c r="H733" s="86">
        <v>6235.9</v>
      </c>
      <c r="I733" s="86">
        <v>4713.9</v>
      </c>
      <c r="J733" s="86">
        <v>4054.78</v>
      </c>
      <c r="K733" s="10">
        <v>248</v>
      </c>
      <c r="L733" s="86">
        <f>'виды работ  (2)'!C732</f>
        <v>2742926</v>
      </c>
      <c r="M733" s="86">
        <v>0</v>
      </c>
      <c r="N733" s="86">
        <v>0</v>
      </c>
      <c r="O733" s="86">
        <v>0</v>
      </c>
      <c r="P733" s="86">
        <f>L733</f>
        <v>2742926</v>
      </c>
      <c r="Q733" s="86">
        <f>L733/H733</f>
        <v>439.8604852547347</v>
      </c>
      <c r="R733" s="97">
        <v>42000</v>
      </c>
      <c r="S733" s="55" t="s">
        <v>843</v>
      </c>
      <c r="T733" s="92" t="s">
        <v>773</v>
      </c>
      <c r="X733" s="190"/>
    </row>
    <row r="734" spans="1:24" s="43" customFormat="1" ht="15">
      <c r="A734" s="10">
        <f>A733+1</f>
        <v>555</v>
      </c>
      <c r="B734" s="82" t="s">
        <v>766</v>
      </c>
      <c r="C734" s="39">
        <v>1965</v>
      </c>
      <c r="D734" s="86"/>
      <c r="E734" s="92" t="s">
        <v>94</v>
      </c>
      <c r="F734" s="10">
        <v>5</v>
      </c>
      <c r="G734" s="10">
        <v>6</v>
      </c>
      <c r="H734" s="86">
        <v>6458.1</v>
      </c>
      <c r="I734" s="86">
        <v>4723.1</v>
      </c>
      <c r="J734" s="86">
        <v>4296.39</v>
      </c>
      <c r="K734" s="10">
        <v>201</v>
      </c>
      <c r="L734" s="86">
        <f>'виды работ  (2)'!C733</f>
        <v>2709435</v>
      </c>
      <c r="M734" s="86">
        <v>0</v>
      </c>
      <c r="N734" s="86">
        <v>0</v>
      </c>
      <c r="O734" s="86">
        <v>0</v>
      </c>
      <c r="P734" s="86">
        <f>L734</f>
        <v>2709435</v>
      </c>
      <c r="Q734" s="86">
        <f>L734/H734</f>
        <v>419.5405769498769</v>
      </c>
      <c r="R734" s="97">
        <v>42000</v>
      </c>
      <c r="S734" s="55" t="s">
        <v>843</v>
      </c>
      <c r="T734" s="92" t="s">
        <v>773</v>
      </c>
      <c r="X734" s="190"/>
    </row>
    <row r="735" spans="1:24" s="186" customFormat="1" ht="15">
      <c r="A735" s="10">
        <f>A734+1</f>
        <v>556</v>
      </c>
      <c r="B735" s="13" t="s">
        <v>533</v>
      </c>
      <c r="C735" s="92">
        <v>1965</v>
      </c>
      <c r="D735" s="95"/>
      <c r="E735" s="92" t="s">
        <v>94</v>
      </c>
      <c r="F735" s="95">
        <v>5</v>
      </c>
      <c r="G735" s="95">
        <v>6</v>
      </c>
      <c r="H735" s="97">
        <v>6394.5</v>
      </c>
      <c r="I735" s="97">
        <v>4696.7</v>
      </c>
      <c r="J735" s="97">
        <v>4209.04</v>
      </c>
      <c r="K735" s="96">
        <v>232</v>
      </c>
      <c r="L735" s="86">
        <f>'виды работ  (2)'!C734</f>
        <v>2000707</v>
      </c>
      <c r="M735" s="86">
        <v>0</v>
      </c>
      <c r="N735" s="86">
        <v>0</v>
      </c>
      <c r="O735" s="86">
        <v>0</v>
      </c>
      <c r="P735" s="86">
        <f aca="true" t="shared" si="157" ref="P735:P798">L735</f>
        <v>2000707</v>
      </c>
      <c r="Q735" s="86">
        <f aca="true" t="shared" si="158" ref="Q735:Q798">L735/H735</f>
        <v>312.8793494409258</v>
      </c>
      <c r="R735" s="97">
        <v>42000</v>
      </c>
      <c r="S735" s="55" t="s">
        <v>843</v>
      </c>
      <c r="T735" s="92" t="s">
        <v>773</v>
      </c>
      <c r="X735" s="190"/>
    </row>
    <row r="736" spans="1:24" s="186" customFormat="1" ht="15">
      <c r="A736" s="10">
        <f aca="true" t="shared" si="159" ref="A736:A799">A735+1</f>
        <v>557</v>
      </c>
      <c r="B736" s="13" t="s">
        <v>534</v>
      </c>
      <c r="C736" s="92">
        <v>1966</v>
      </c>
      <c r="D736" s="95"/>
      <c r="E736" s="92" t="s">
        <v>94</v>
      </c>
      <c r="F736" s="95">
        <v>5</v>
      </c>
      <c r="G736" s="95">
        <v>6</v>
      </c>
      <c r="H736" s="97">
        <v>6551.7</v>
      </c>
      <c r="I736" s="97">
        <v>4779.7</v>
      </c>
      <c r="J736" s="97">
        <v>3980.23</v>
      </c>
      <c r="K736" s="96">
        <v>246</v>
      </c>
      <c r="L736" s="86">
        <f>'виды работ  (2)'!C735</f>
        <v>2125703</v>
      </c>
      <c r="M736" s="86">
        <v>0</v>
      </c>
      <c r="N736" s="86">
        <v>0</v>
      </c>
      <c r="O736" s="86">
        <v>0</v>
      </c>
      <c r="P736" s="86">
        <f t="shared" si="157"/>
        <v>2125703</v>
      </c>
      <c r="Q736" s="86">
        <f t="shared" si="158"/>
        <v>324.4506006074759</v>
      </c>
      <c r="R736" s="97">
        <v>42000</v>
      </c>
      <c r="S736" s="55" t="s">
        <v>843</v>
      </c>
      <c r="T736" s="92" t="s">
        <v>773</v>
      </c>
      <c r="X736" s="190"/>
    </row>
    <row r="737" spans="1:24" s="186" customFormat="1" ht="14.25" customHeight="1">
      <c r="A737" s="10">
        <f t="shared" si="159"/>
        <v>558</v>
      </c>
      <c r="B737" s="13" t="s">
        <v>535</v>
      </c>
      <c r="C737" s="92">
        <v>1965</v>
      </c>
      <c r="D737" s="95"/>
      <c r="E737" s="92" t="s">
        <v>94</v>
      </c>
      <c r="F737" s="95">
        <v>5</v>
      </c>
      <c r="G737" s="95">
        <v>6</v>
      </c>
      <c r="H737" s="97">
        <v>6159.6</v>
      </c>
      <c r="I737" s="97">
        <v>4751.15</v>
      </c>
      <c r="J737" s="97">
        <v>3115.67</v>
      </c>
      <c r="K737" s="96">
        <v>208</v>
      </c>
      <c r="L737" s="86">
        <f>'виды работ  (2)'!C736</f>
        <v>3555846</v>
      </c>
      <c r="M737" s="86">
        <v>0</v>
      </c>
      <c r="N737" s="86">
        <v>0</v>
      </c>
      <c r="O737" s="86">
        <v>0</v>
      </c>
      <c r="P737" s="86">
        <f t="shared" si="157"/>
        <v>3555846</v>
      </c>
      <c r="Q737" s="86">
        <f t="shared" si="158"/>
        <v>577.2852133255406</v>
      </c>
      <c r="R737" s="97">
        <v>42000</v>
      </c>
      <c r="S737" s="55" t="s">
        <v>843</v>
      </c>
      <c r="T737" s="92" t="s">
        <v>773</v>
      </c>
      <c r="X737" s="190"/>
    </row>
    <row r="738" spans="1:24" s="186" customFormat="1" ht="15">
      <c r="A738" s="10">
        <f t="shared" si="159"/>
        <v>559</v>
      </c>
      <c r="B738" s="13" t="s">
        <v>536</v>
      </c>
      <c r="C738" s="92">
        <v>1966</v>
      </c>
      <c r="D738" s="95"/>
      <c r="E738" s="95" t="s">
        <v>442</v>
      </c>
      <c r="F738" s="95">
        <v>5</v>
      </c>
      <c r="G738" s="95">
        <v>6</v>
      </c>
      <c r="H738" s="97">
        <v>6989.6</v>
      </c>
      <c r="I738" s="97">
        <v>5189.7</v>
      </c>
      <c r="J738" s="97">
        <v>3497.6</v>
      </c>
      <c r="K738" s="96">
        <v>219</v>
      </c>
      <c r="L738" s="86">
        <f>'виды работ  (2)'!C737</f>
        <v>1753568</v>
      </c>
      <c r="M738" s="86">
        <v>0</v>
      </c>
      <c r="N738" s="86">
        <v>0</v>
      </c>
      <c r="O738" s="86">
        <v>0</v>
      </c>
      <c r="P738" s="86">
        <f t="shared" si="157"/>
        <v>1753568</v>
      </c>
      <c r="Q738" s="86">
        <f t="shared" si="158"/>
        <v>250.88245393155543</v>
      </c>
      <c r="R738" s="97">
        <v>42000</v>
      </c>
      <c r="S738" s="55" t="s">
        <v>843</v>
      </c>
      <c r="T738" s="92" t="s">
        <v>773</v>
      </c>
      <c r="X738" s="190"/>
    </row>
    <row r="739" spans="1:24" s="186" customFormat="1" ht="15">
      <c r="A739" s="10">
        <f t="shared" si="159"/>
        <v>560</v>
      </c>
      <c r="B739" s="13" t="s">
        <v>537</v>
      </c>
      <c r="C739" s="92">
        <v>1966</v>
      </c>
      <c r="D739" s="95"/>
      <c r="E739" s="95" t="s">
        <v>442</v>
      </c>
      <c r="F739" s="95">
        <v>5</v>
      </c>
      <c r="G739" s="95">
        <v>6</v>
      </c>
      <c r="H739" s="97">
        <v>6266</v>
      </c>
      <c r="I739" s="97">
        <v>5153.4</v>
      </c>
      <c r="J739" s="97">
        <v>3475.3</v>
      </c>
      <c r="K739" s="96">
        <v>270</v>
      </c>
      <c r="L739" s="86">
        <f>'виды работ  (2)'!C738</f>
        <v>499226</v>
      </c>
      <c r="M739" s="86">
        <v>0</v>
      </c>
      <c r="N739" s="86">
        <v>0</v>
      </c>
      <c r="O739" s="86">
        <v>0</v>
      </c>
      <c r="P739" s="86">
        <f t="shared" si="157"/>
        <v>499226</v>
      </c>
      <c r="Q739" s="86">
        <f t="shared" si="158"/>
        <v>79.67219917012449</v>
      </c>
      <c r="R739" s="97">
        <v>42000</v>
      </c>
      <c r="S739" s="55" t="s">
        <v>843</v>
      </c>
      <c r="T739" s="92" t="s">
        <v>773</v>
      </c>
      <c r="X739" s="190"/>
    </row>
    <row r="740" spans="1:24" s="186" customFormat="1" ht="15">
      <c r="A740" s="10">
        <f t="shared" si="159"/>
        <v>561</v>
      </c>
      <c r="B740" s="13" t="s">
        <v>538</v>
      </c>
      <c r="C740" s="92">
        <v>1964</v>
      </c>
      <c r="D740" s="95"/>
      <c r="E740" s="95" t="s">
        <v>442</v>
      </c>
      <c r="F740" s="95">
        <v>5</v>
      </c>
      <c r="G740" s="95">
        <v>4</v>
      </c>
      <c r="H740" s="97">
        <v>3803.93</v>
      </c>
      <c r="I740" s="97">
        <v>3471.96</v>
      </c>
      <c r="J740" s="97">
        <v>2305.43</v>
      </c>
      <c r="K740" s="96">
        <v>172</v>
      </c>
      <c r="L740" s="86">
        <f>'виды работ  (2)'!C739</f>
        <v>4013840</v>
      </c>
      <c r="M740" s="86">
        <v>0</v>
      </c>
      <c r="N740" s="86">
        <v>0</v>
      </c>
      <c r="O740" s="86">
        <v>0</v>
      </c>
      <c r="P740" s="86">
        <f t="shared" si="157"/>
        <v>4013840</v>
      </c>
      <c r="Q740" s="86">
        <f t="shared" si="158"/>
        <v>1055.1824034616832</v>
      </c>
      <c r="R740" s="97">
        <v>42000</v>
      </c>
      <c r="S740" s="55" t="s">
        <v>843</v>
      </c>
      <c r="T740" s="92" t="s">
        <v>773</v>
      </c>
      <c r="X740" s="190"/>
    </row>
    <row r="741" spans="1:24" s="186" customFormat="1" ht="15">
      <c r="A741" s="10">
        <f t="shared" si="159"/>
        <v>562</v>
      </c>
      <c r="B741" s="13" t="s">
        <v>539</v>
      </c>
      <c r="C741" s="92">
        <v>1966</v>
      </c>
      <c r="D741" s="95"/>
      <c r="E741" s="92" t="s">
        <v>94</v>
      </c>
      <c r="F741" s="95">
        <v>5</v>
      </c>
      <c r="G741" s="95">
        <v>4</v>
      </c>
      <c r="H741" s="97">
        <v>3452.84</v>
      </c>
      <c r="I741" s="97">
        <v>3115.63</v>
      </c>
      <c r="J741" s="97">
        <v>2068.42</v>
      </c>
      <c r="K741" s="96">
        <v>129</v>
      </c>
      <c r="L741" s="86">
        <f>'виды работ  (2)'!C740</f>
        <v>2317297</v>
      </c>
      <c r="M741" s="86">
        <v>0</v>
      </c>
      <c r="N741" s="86">
        <v>0</v>
      </c>
      <c r="O741" s="86">
        <v>0</v>
      </c>
      <c r="P741" s="86">
        <f t="shared" si="157"/>
        <v>2317297</v>
      </c>
      <c r="Q741" s="86">
        <f t="shared" si="158"/>
        <v>671.1278252105512</v>
      </c>
      <c r="R741" s="97">
        <v>42000</v>
      </c>
      <c r="S741" s="55" t="s">
        <v>843</v>
      </c>
      <c r="T741" s="92" t="s">
        <v>773</v>
      </c>
      <c r="X741" s="190"/>
    </row>
    <row r="742" spans="1:24" s="186" customFormat="1" ht="15">
      <c r="A742" s="10">
        <f t="shared" si="159"/>
        <v>563</v>
      </c>
      <c r="B742" s="13" t="s">
        <v>540</v>
      </c>
      <c r="C742" s="92">
        <v>1965</v>
      </c>
      <c r="D742" s="95"/>
      <c r="E742" s="92" t="s">
        <v>94</v>
      </c>
      <c r="F742" s="95">
        <v>5</v>
      </c>
      <c r="G742" s="95">
        <v>4</v>
      </c>
      <c r="H742" s="97">
        <v>3489.6</v>
      </c>
      <c r="I742" s="97">
        <v>3166.45</v>
      </c>
      <c r="J742" s="97">
        <v>2068.4</v>
      </c>
      <c r="K742" s="96">
        <v>127</v>
      </c>
      <c r="L742" s="86">
        <f>'виды работ  (2)'!C741</f>
        <v>2234937</v>
      </c>
      <c r="M742" s="86">
        <v>0</v>
      </c>
      <c r="N742" s="86">
        <v>0</v>
      </c>
      <c r="O742" s="86">
        <v>0</v>
      </c>
      <c r="P742" s="86">
        <f t="shared" si="157"/>
        <v>2234937</v>
      </c>
      <c r="Q742" s="86">
        <f t="shared" si="158"/>
        <v>640.4564993122422</v>
      </c>
      <c r="R742" s="97">
        <v>42000</v>
      </c>
      <c r="S742" s="55" t="s">
        <v>843</v>
      </c>
      <c r="T742" s="92" t="s">
        <v>773</v>
      </c>
      <c r="X742" s="190"/>
    </row>
    <row r="743" spans="1:24" s="186" customFormat="1" ht="15">
      <c r="A743" s="10">
        <f t="shared" si="159"/>
        <v>564</v>
      </c>
      <c r="B743" s="13" t="s">
        <v>541</v>
      </c>
      <c r="C743" s="92">
        <v>1965</v>
      </c>
      <c r="D743" s="95"/>
      <c r="E743" s="92" t="s">
        <v>94</v>
      </c>
      <c r="F743" s="95">
        <v>5</v>
      </c>
      <c r="G743" s="95">
        <v>4</v>
      </c>
      <c r="H743" s="97">
        <v>3397.77</v>
      </c>
      <c r="I743" s="97">
        <v>3124.28</v>
      </c>
      <c r="J743" s="97">
        <v>2028.32</v>
      </c>
      <c r="K743" s="96">
        <v>130</v>
      </c>
      <c r="L743" s="86">
        <f>'виды работ  (2)'!C742</f>
        <v>2267096</v>
      </c>
      <c r="M743" s="86">
        <v>0</v>
      </c>
      <c r="N743" s="86">
        <v>0</v>
      </c>
      <c r="O743" s="86">
        <v>0</v>
      </c>
      <c r="P743" s="86">
        <f t="shared" si="157"/>
        <v>2267096</v>
      </c>
      <c r="Q743" s="86">
        <f t="shared" si="158"/>
        <v>667.2305659300071</v>
      </c>
      <c r="R743" s="97">
        <v>42000</v>
      </c>
      <c r="S743" s="55" t="s">
        <v>843</v>
      </c>
      <c r="T743" s="92" t="s">
        <v>773</v>
      </c>
      <c r="X743" s="190"/>
    </row>
    <row r="744" spans="1:24" s="186" customFormat="1" ht="15">
      <c r="A744" s="10">
        <f t="shared" si="159"/>
        <v>565</v>
      </c>
      <c r="B744" s="13" t="s">
        <v>542</v>
      </c>
      <c r="C744" s="92">
        <v>1966</v>
      </c>
      <c r="D744" s="95"/>
      <c r="E744" s="92" t="s">
        <v>94</v>
      </c>
      <c r="F744" s="95">
        <v>5</v>
      </c>
      <c r="G744" s="95">
        <v>6</v>
      </c>
      <c r="H744" s="97">
        <v>5406.48</v>
      </c>
      <c r="I744" s="97">
        <v>3929.99</v>
      </c>
      <c r="J744" s="97">
        <v>2621</v>
      </c>
      <c r="K744" s="96">
        <v>165</v>
      </c>
      <c r="L744" s="86">
        <f>'виды работ  (2)'!C743</f>
        <v>1043849</v>
      </c>
      <c r="M744" s="86">
        <v>0</v>
      </c>
      <c r="N744" s="86">
        <v>0</v>
      </c>
      <c r="O744" s="86">
        <v>0</v>
      </c>
      <c r="P744" s="86">
        <f t="shared" si="157"/>
        <v>1043849</v>
      </c>
      <c r="Q744" s="86">
        <f t="shared" si="158"/>
        <v>193.07368195202795</v>
      </c>
      <c r="R744" s="97">
        <v>42000</v>
      </c>
      <c r="S744" s="55" t="s">
        <v>843</v>
      </c>
      <c r="T744" s="92" t="s">
        <v>773</v>
      </c>
      <c r="X744" s="190"/>
    </row>
    <row r="745" spans="1:24" s="186" customFormat="1" ht="15">
      <c r="A745" s="10">
        <f t="shared" si="159"/>
        <v>566</v>
      </c>
      <c r="B745" s="13" t="s">
        <v>543</v>
      </c>
      <c r="C745" s="92">
        <v>1970</v>
      </c>
      <c r="D745" s="95"/>
      <c r="E745" s="95" t="s">
        <v>442</v>
      </c>
      <c r="F745" s="95">
        <v>9</v>
      </c>
      <c r="G745" s="95">
        <v>6</v>
      </c>
      <c r="H745" s="97">
        <v>14942.8</v>
      </c>
      <c r="I745" s="97">
        <v>11261.3</v>
      </c>
      <c r="J745" s="97">
        <v>10337.32</v>
      </c>
      <c r="K745" s="96">
        <v>521</v>
      </c>
      <c r="L745" s="86">
        <f>'виды работ  (2)'!C744</f>
        <v>2410068</v>
      </c>
      <c r="M745" s="86">
        <v>0</v>
      </c>
      <c r="N745" s="86">
        <v>0</v>
      </c>
      <c r="O745" s="86">
        <v>0</v>
      </c>
      <c r="P745" s="86">
        <f t="shared" si="157"/>
        <v>2410068</v>
      </c>
      <c r="Q745" s="86">
        <f t="shared" si="158"/>
        <v>161.28623818829135</v>
      </c>
      <c r="R745" s="97">
        <v>42000</v>
      </c>
      <c r="S745" s="55" t="s">
        <v>843</v>
      </c>
      <c r="T745" s="92" t="s">
        <v>773</v>
      </c>
      <c r="X745" s="190"/>
    </row>
    <row r="746" spans="1:24" s="186" customFormat="1" ht="15">
      <c r="A746" s="10">
        <f t="shared" si="159"/>
        <v>567</v>
      </c>
      <c r="B746" s="13" t="s">
        <v>544</v>
      </c>
      <c r="C746" s="92">
        <v>1970</v>
      </c>
      <c r="D746" s="95"/>
      <c r="E746" s="92" t="s">
        <v>94</v>
      </c>
      <c r="F746" s="95">
        <v>5</v>
      </c>
      <c r="G746" s="95">
        <v>4</v>
      </c>
      <c r="H746" s="97">
        <v>4582.53</v>
      </c>
      <c r="I746" s="97">
        <v>2804.3</v>
      </c>
      <c r="J746" s="97">
        <v>2697.08</v>
      </c>
      <c r="K746" s="96">
        <v>130</v>
      </c>
      <c r="L746" s="86">
        <f>'виды работ  (2)'!C745</f>
        <v>1382623</v>
      </c>
      <c r="M746" s="86">
        <v>0</v>
      </c>
      <c r="N746" s="86">
        <v>0</v>
      </c>
      <c r="O746" s="86">
        <v>0</v>
      </c>
      <c r="P746" s="86">
        <f t="shared" si="157"/>
        <v>1382623</v>
      </c>
      <c r="Q746" s="86">
        <f t="shared" si="158"/>
        <v>301.7160826006595</v>
      </c>
      <c r="R746" s="97">
        <v>42000</v>
      </c>
      <c r="S746" s="55" t="s">
        <v>843</v>
      </c>
      <c r="T746" s="92" t="s">
        <v>773</v>
      </c>
      <c r="X746" s="190"/>
    </row>
    <row r="747" spans="1:24" s="186" customFormat="1" ht="15">
      <c r="A747" s="10">
        <f t="shared" si="159"/>
        <v>568</v>
      </c>
      <c r="B747" s="13" t="s">
        <v>545</v>
      </c>
      <c r="C747" s="92">
        <v>1971</v>
      </c>
      <c r="D747" s="95"/>
      <c r="E747" s="95" t="s">
        <v>442</v>
      </c>
      <c r="F747" s="95">
        <v>9</v>
      </c>
      <c r="G747" s="95">
        <v>6</v>
      </c>
      <c r="H747" s="97">
        <v>12924.48</v>
      </c>
      <c r="I747" s="97">
        <v>11592.46</v>
      </c>
      <c r="J747" s="97">
        <v>10459</v>
      </c>
      <c r="K747" s="96">
        <v>506</v>
      </c>
      <c r="L747" s="86">
        <f>'виды работ  (2)'!C746</f>
        <v>2413032</v>
      </c>
      <c r="M747" s="86">
        <v>0</v>
      </c>
      <c r="N747" s="86">
        <v>0</v>
      </c>
      <c r="O747" s="86">
        <v>0</v>
      </c>
      <c r="P747" s="86">
        <f t="shared" si="157"/>
        <v>2413032</v>
      </c>
      <c r="Q747" s="86">
        <f t="shared" si="158"/>
        <v>186.70244373468023</v>
      </c>
      <c r="R747" s="97">
        <v>42000</v>
      </c>
      <c r="S747" s="55" t="s">
        <v>843</v>
      </c>
      <c r="T747" s="92" t="s">
        <v>773</v>
      </c>
      <c r="X747" s="190"/>
    </row>
    <row r="748" spans="1:24" s="186" customFormat="1" ht="15">
      <c r="A748" s="10">
        <f t="shared" si="159"/>
        <v>569</v>
      </c>
      <c r="B748" s="13" t="s">
        <v>546</v>
      </c>
      <c r="C748" s="92">
        <v>1971</v>
      </c>
      <c r="D748" s="95"/>
      <c r="E748" s="95" t="s">
        <v>442</v>
      </c>
      <c r="F748" s="95">
        <v>5</v>
      </c>
      <c r="G748" s="95">
        <v>7</v>
      </c>
      <c r="H748" s="97">
        <v>4967</v>
      </c>
      <c r="I748" s="97">
        <v>3748.7</v>
      </c>
      <c r="J748" s="97">
        <v>3503.6</v>
      </c>
      <c r="K748" s="96">
        <v>195</v>
      </c>
      <c r="L748" s="86">
        <f>'виды работ  (2)'!C747</f>
        <v>1568192</v>
      </c>
      <c r="M748" s="86">
        <v>0</v>
      </c>
      <c r="N748" s="86">
        <v>0</v>
      </c>
      <c r="O748" s="86">
        <v>0</v>
      </c>
      <c r="P748" s="86">
        <f t="shared" si="157"/>
        <v>1568192</v>
      </c>
      <c r="Q748" s="86">
        <f t="shared" si="158"/>
        <v>315.72216629756394</v>
      </c>
      <c r="R748" s="97">
        <v>42000</v>
      </c>
      <c r="S748" s="55" t="s">
        <v>843</v>
      </c>
      <c r="T748" s="92" t="s">
        <v>773</v>
      </c>
      <c r="X748" s="190"/>
    </row>
    <row r="749" spans="1:24" s="186" customFormat="1" ht="15">
      <c r="A749" s="10">
        <f t="shared" si="159"/>
        <v>570</v>
      </c>
      <c r="B749" s="13" t="s">
        <v>549</v>
      </c>
      <c r="C749" s="92">
        <v>1975</v>
      </c>
      <c r="D749" s="95"/>
      <c r="E749" s="95" t="s">
        <v>442</v>
      </c>
      <c r="F749" s="95">
        <v>9</v>
      </c>
      <c r="G749" s="95">
        <v>4</v>
      </c>
      <c r="H749" s="97">
        <v>9919.1</v>
      </c>
      <c r="I749" s="97">
        <v>8001.2</v>
      </c>
      <c r="J749" s="97">
        <v>7408.27</v>
      </c>
      <c r="K749" s="96">
        <v>369</v>
      </c>
      <c r="L749" s="86">
        <f>'виды работ  (2)'!C748</f>
        <v>1650061</v>
      </c>
      <c r="M749" s="86">
        <v>0</v>
      </c>
      <c r="N749" s="86">
        <v>0</v>
      </c>
      <c r="O749" s="86">
        <v>0</v>
      </c>
      <c r="P749" s="86">
        <f t="shared" si="157"/>
        <v>1650061</v>
      </c>
      <c r="Q749" s="86">
        <f t="shared" si="158"/>
        <v>166.3518867639201</v>
      </c>
      <c r="R749" s="97">
        <v>42000</v>
      </c>
      <c r="S749" s="55" t="s">
        <v>843</v>
      </c>
      <c r="T749" s="92" t="s">
        <v>773</v>
      </c>
      <c r="X749" s="190"/>
    </row>
    <row r="750" spans="1:24" s="43" customFormat="1" ht="15">
      <c r="A750" s="10">
        <f t="shared" si="159"/>
        <v>571</v>
      </c>
      <c r="B750" s="89" t="s">
        <v>767</v>
      </c>
      <c r="C750" s="39">
        <v>1961</v>
      </c>
      <c r="D750" s="86"/>
      <c r="E750" s="92" t="s">
        <v>94</v>
      </c>
      <c r="F750" s="10">
        <v>5</v>
      </c>
      <c r="G750" s="10">
        <v>2</v>
      </c>
      <c r="H750" s="86">
        <v>1888.6</v>
      </c>
      <c r="I750" s="86">
        <v>1201.3</v>
      </c>
      <c r="J750" s="86">
        <v>453.77</v>
      </c>
      <c r="K750" s="10">
        <v>84</v>
      </c>
      <c r="L750" s="86">
        <f>'виды работ  (2)'!C749</f>
        <v>11096226</v>
      </c>
      <c r="M750" s="86">
        <v>0</v>
      </c>
      <c r="N750" s="86">
        <v>0</v>
      </c>
      <c r="O750" s="86">
        <v>0</v>
      </c>
      <c r="P750" s="86">
        <f t="shared" si="157"/>
        <v>11096226</v>
      </c>
      <c r="Q750" s="86">
        <f t="shared" si="158"/>
        <v>5875.3711744149105</v>
      </c>
      <c r="R750" s="97">
        <v>42000</v>
      </c>
      <c r="S750" s="55" t="s">
        <v>843</v>
      </c>
      <c r="T750" s="92" t="s">
        <v>773</v>
      </c>
      <c r="X750" s="190"/>
    </row>
    <row r="751" spans="1:24" s="186" customFormat="1" ht="15">
      <c r="A751" s="10">
        <f t="shared" si="159"/>
        <v>572</v>
      </c>
      <c r="B751" s="13" t="s">
        <v>547</v>
      </c>
      <c r="C751" s="92">
        <v>1953</v>
      </c>
      <c r="D751" s="95"/>
      <c r="E751" s="92" t="s">
        <v>94</v>
      </c>
      <c r="F751" s="95">
        <v>2</v>
      </c>
      <c r="G751" s="95">
        <v>1</v>
      </c>
      <c r="H751" s="97">
        <v>278.6</v>
      </c>
      <c r="I751" s="97">
        <v>236.81</v>
      </c>
      <c r="J751" s="97">
        <v>173.83</v>
      </c>
      <c r="K751" s="96">
        <v>14</v>
      </c>
      <c r="L751" s="86">
        <f>'виды работ  (2)'!C750</f>
        <v>96495</v>
      </c>
      <c r="M751" s="86">
        <v>0</v>
      </c>
      <c r="N751" s="86">
        <v>0</v>
      </c>
      <c r="O751" s="86">
        <v>0</v>
      </c>
      <c r="P751" s="86">
        <f t="shared" si="157"/>
        <v>96495</v>
      </c>
      <c r="Q751" s="86">
        <f t="shared" si="158"/>
        <v>346.35678391959794</v>
      </c>
      <c r="R751" s="97">
        <v>42000</v>
      </c>
      <c r="S751" s="55" t="s">
        <v>843</v>
      </c>
      <c r="T751" s="92" t="s">
        <v>773</v>
      </c>
      <c r="X751" s="190"/>
    </row>
    <row r="752" spans="1:24" s="186" customFormat="1" ht="15">
      <c r="A752" s="10">
        <f t="shared" si="159"/>
        <v>573</v>
      </c>
      <c r="B752" s="13" t="s">
        <v>23</v>
      </c>
      <c r="C752" s="92">
        <v>1960</v>
      </c>
      <c r="D752" s="95"/>
      <c r="E752" s="92" t="s">
        <v>94</v>
      </c>
      <c r="F752" s="95">
        <v>2</v>
      </c>
      <c r="G752" s="95">
        <v>1</v>
      </c>
      <c r="H752" s="97">
        <v>478.7</v>
      </c>
      <c r="I752" s="97">
        <v>406.9</v>
      </c>
      <c r="J752" s="97">
        <v>302</v>
      </c>
      <c r="K752" s="96">
        <v>25</v>
      </c>
      <c r="L752" s="86">
        <f>'виды работ  (2)'!C751</f>
        <v>111797</v>
      </c>
      <c r="M752" s="86">
        <v>0</v>
      </c>
      <c r="N752" s="86">
        <v>0</v>
      </c>
      <c r="O752" s="86">
        <v>0</v>
      </c>
      <c r="P752" s="86">
        <f t="shared" si="157"/>
        <v>111797</v>
      </c>
      <c r="Q752" s="86">
        <f t="shared" si="158"/>
        <v>233.54292876540632</v>
      </c>
      <c r="R752" s="97">
        <v>42000</v>
      </c>
      <c r="S752" s="55" t="s">
        <v>843</v>
      </c>
      <c r="T752" s="92" t="s">
        <v>773</v>
      </c>
      <c r="X752" s="190"/>
    </row>
    <row r="753" spans="1:24" s="186" customFormat="1" ht="15">
      <c r="A753" s="10">
        <f t="shared" si="159"/>
        <v>574</v>
      </c>
      <c r="B753" s="13" t="s">
        <v>24</v>
      </c>
      <c r="C753" s="92">
        <v>1972</v>
      </c>
      <c r="D753" s="95"/>
      <c r="E753" s="92" t="s">
        <v>94</v>
      </c>
      <c r="F753" s="95">
        <v>2</v>
      </c>
      <c r="G753" s="95">
        <v>3</v>
      </c>
      <c r="H753" s="97">
        <v>865.03</v>
      </c>
      <c r="I753" s="97">
        <v>735.28</v>
      </c>
      <c r="J753" s="97">
        <v>558.09</v>
      </c>
      <c r="K753" s="96">
        <v>51</v>
      </c>
      <c r="L753" s="86">
        <f>'виды работ  (2)'!C752</f>
        <v>109112</v>
      </c>
      <c r="M753" s="86">
        <v>0</v>
      </c>
      <c r="N753" s="86">
        <v>0</v>
      </c>
      <c r="O753" s="86">
        <v>0</v>
      </c>
      <c r="P753" s="86">
        <f t="shared" si="157"/>
        <v>109112</v>
      </c>
      <c r="Q753" s="86">
        <f t="shared" si="158"/>
        <v>126.13666578037757</v>
      </c>
      <c r="R753" s="97">
        <v>42000</v>
      </c>
      <c r="S753" s="55" t="s">
        <v>843</v>
      </c>
      <c r="T753" s="92" t="s">
        <v>773</v>
      </c>
      <c r="X753" s="190"/>
    </row>
    <row r="754" spans="1:24" s="186" customFormat="1" ht="15">
      <c r="A754" s="10">
        <f t="shared" si="159"/>
        <v>575</v>
      </c>
      <c r="B754" s="13" t="s">
        <v>548</v>
      </c>
      <c r="C754" s="92">
        <v>1964</v>
      </c>
      <c r="D754" s="95"/>
      <c r="E754" s="92" t="s">
        <v>94</v>
      </c>
      <c r="F754" s="95">
        <v>2</v>
      </c>
      <c r="G754" s="95">
        <v>2</v>
      </c>
      <c r="H754" s="97">
        <v>678.3</v>
      </c>
      <c r="I754" s="97">
        <v>610.3</v>
      </c>
      <c r="J754" s="97">
        <v>580.3</v>
      </c>
      <c r="K754" s="96">
        <v>27</v>
      </c>
      <c r="L754" s="86">
        <f>'виды работ  (2)'!C753</f>
        <v>96780</v>
      </c>
      <c r="M754" s="86">
        <v>0</v>
      </c>
      <c r="N754" s="86">
        <v>0</v>
      </c>
      <c r="O754" s="86">
        <v>0</v>
      </c>
      <c r="P754" s="86">
        <f t="shared" si="157"/>
        <v>96780</v>
      </c>
      <c r="Q754" s="86">
        <f t="shared" si="158"/>
        <v>142.68022998673155</v>
      </c>
      <c r="R754" s="97">
        <v>42000</v>
      </c>
      <c r="S754" s="55" t="s">
        <v>843</v>
      </c>
      <c r="T754" s="92" t="s">
        <v>773</v>
      </c>
      <c r="X754" s="190"/>
    </row>
    <row r="755" spans="1:24" s="186" customFormat="1" ht="15">
      <c r="A755" s="10">
        <f t="shared" si="159"/>
        <v>576</v>
      </c>
      <c r="B755" s="13" t="s">
        <v>824</v>
      </c>
      <c r="C755" s="92">
        <v>1965</v>
      </c>
      <c r="D755" s="95"/>
      <c r="E755" s="92" t="s">
        <v>94</v>
      </c>
      <c r="F755" s="95">
        <v>2</v>
      </c>
      <c r="G755" s="95">
        <v>2</v>
      </c>
      <c r="H755" s="97">
        <v>689.1</v>
      </c>
      <c r="I755" s="97">
        <v>631</v>
      </c>
      <c r="J755" s="97">
        <v>396</v>
      </c>
      <c r="K755" s="96">
        <v>28</v>
      </c>
      <c r="L755" s="86">
        <f>'виды работ  (2)'!C754</f>
        <v>2164931</v>
      </c>
      <c r="M755" s="86">
        <v>0</v>
      </c>
      <c r="N755" s="86">
        <v>0</v>
      </c>
      <c r="O755" s="86">
        <v>0</v>
      </c>
      <c r="P755" s="86">
        <f t="shared" si="157"/>
        <v>2164931</v>
      </c>
      <c r="Q755" s="86">
        <f t="shared" si="158"/>
        <v>3141.6790015962847</v>
      </c>
      <c r="R755" s="97">
        <v>42000</v>
      </c>
      <c r="S755" s="55" t="s">
        <v>843</v>
      </c>
      <c r="T755" s="92" t="s">
        <v>773</v>
      </c>
      <c r="X755" s="190"/>
    </row>
    <row r="756" spans="1:24" s="186" customFormat="1" ht="15">
      <c r="A756" s="10">
        <f t="shared" si="159"/>
        <v>577</v>
      </c>
      <c r="B756" s="13" t="s">
        <v>25</v>
      </c>
      <c r="C756" s="92">
        <v>1965</v>
      </c>
      <c r="D756" s="95"/>
      <c r="E756" s="92" t="s">
        <v>465</v>
      </c>
      <c r="F756" s="95">
        <v>2</v>
      </c>
      <c r="G756" s="95">
        <v>1</v>
      </c>
      <c r="H756" s="97">
        <v>278.45</v>
      </c>
      <c r="I756" s="97">
        <v>236.68</v>
      </c>
      <c r="J756" s="97">
        <v>202.71</v>
      </c>
      <c r="K756" s="96">
        <v>23</v>
      </c>
      <c r="L756" s="86">
        <f>'виды работ  (2)'!C755</f>
        <v>73730</v>
      </c>
      <c r="M756" s="86">
        <v>0</v>
      </c>
      <c r="N756" s="86">
        <v>0</v>
      </c>
      <c r="O756" s="86">
        <v>0</v>
      </c>
      <c r="P756" s="86">
        <f t="shared" si="157"/>
        <v>73730</v>
      </c>
      <c r="Q756" s="86">
        <f t="shared" si="158"/>
        <v>264.78721493984557</v>
      </c>
      <c r="R756" s="97">
        <v>42000</v>
      </c>
      <c r="S756" s="55" t="s">
        <v>843</v>
      </c>
      <c r="T756" s="92" t="s">
        <v>773</v>
      </c>
      <c r="X756" s="190"/>
    </row>
    <row r="757" spans="1:24" s="186" customFormat="1" ht="15">
      <c r="A757" s="10">
        <f t="shared" si="159"/>
        <v>578</v>
      </c>
      <c r="B757" s="13" t="s">
        <v>825</v>
      </c>
      <c r="C757" s="92">
        <v>1960</v>
      </c>
      <c r="D757" s="95"/>
      <c r="E757" s="92" t="s">
        <v>465</v>
      </c>
      <c r="F757" s="95">
        <v>2</v>
      </c>
      <c r="G757" s="95">
        <v>1</v>
      </c>
      <c r="H757" s="97">
        <v>346.8</v>
      </c>
      <c r="I757" s="97">
        <v>320.4</v>
      </c>
      <c r="J757" s="97">
        <v>121.8</v>
      </c>
      <c r="K757" s="96">
        <v>27</v>
      </c>
      <c r="L757" s="86">
        <f>'виды работ  (2)'!C756</f>
        <v>78437</v>
      </c>
      <c r="M757" s="86">
        <v>0</v>
      </c>
      <c r="N757" s="86">
        <v>0</v>
      </c>
      <c r="O757" s="86">
        <v>0</v>
      </c>
      <c r="P757" s="86">
        <f t="shared" si="157"/>
        <v>78437</v>
      </c>
      <c r="Q757" s="86">
        <f t="shared" si="158"/>
        <v>226.17358708189158</v>
      </c>
      <c r="R757" s="97">
        <v>42000</v>
      </c>
      <c r="S757" s="55" t="s">
        <v>843</v>
      </c>
      <c r="T757" s="92" t="s">
        <v>773</v>
      </c>
      <c r="X757" s="190"/>
    </row>
    <row r="758" spans="1:24" s="186" customFormat="1" ht="15">
      <c r="A758" s="10">
        <f t="shared" si="159"/>
        <v>579</v>
      </c>
      <c r="B758" s="13" t="s">
        <v>826</v>
      </c>
      <c r="C758" s="92">
        <v>1963</v>
      </c>
      <c r="D758" s="95"/>
      <c r="E758" s="92" t="s">
        <v>465</v>
      </c>
      <c r="F758" s="95">
        <v>2</v>
      </c>
      <c r="G758" s="95">
        <v>1</v>
      </c>
      <c r="H758" s="97">
        <v>368.8</v>
      </c>
      <c r="I758" s="97">
        <v>342.4</v>
      </c>
      <c r="J758" s="97">
        <v>159.6</v>
      </c>
      <c r="K758" s="96">
        <v>21</v>
      </c>
      <c r="L758" s="86">
        <f>'виды работ  (2)'!C757</f>
        <v>82465</v>
      </c>
      <c r="M758" s="86">
        <v>0</v>
      </c>
      <c r="N758" s="86">
        <v>0</v>
      </c>
      <c r="O758" s="86">
        <v>0</v>
      </c>
      <c r="P758" s="86">
        <f t="shared" si="157"/>
        <v>82465</v>
      </c>
      <c r="Q758" s="86">
        <f t="shared" si="158"/>
        <v>223.603579175705</v>
      </c>
      <c r="R758" s="97">
        <v>42000</v>
      </c>
      <c r="S758" s="55" t="s">
        <v>843</v>
      </c>
      <c r="T758" s="92" t="s">
        <v>773</v>
      </c>
      <c r="X758" s="190"/>
    </row>
    <row r="759" spans="1:24" s="186" customFormat="1" ht="15">
      <c r="A759" s="10">
        <f t="shared" si="159"/>
        <v>580</v>
      </c>
      <c r="B759" s="13" t="s">
        <v>827</v>
      </c>
      <c r="C759" s="92">
        <v>1960</v>
      </c>
      <c r="D759" s="95"/>
      <c r="E759" s="92" t="s">
        <v>94</v>
      </c>
      <c r="F759" s="95">
        <v>2</v>
      </c>
      <c r="G759" s="95">
        <v>1</v>
      </c>
      <c r="H759" s="97">
        <v>274.5</v>
      </c>
      <c r="I759" s="97">
        <v>274.5</v>
      </c>
      <c r="J759" s="97">
        <v>205.3</v>
      </c>
      <c r="K759" s="96">
        <v>16</v>
      </c>
      <c r="L759" s="86">
        <f>'виды работ  (2)'!C758</f>
        <v>1333052</v>
      </c>
      <c r="M759" s="86">
        <v>0</v>
      </c>
      <c r="N759" s="86">
        <v>0</v>
      </c>
      <c r="O759" s="86">
        <v>0</v>
      </c>
      <c r="P759" s="86">
        <f t="shared" si="157"/>
        <v>1333052</v>
      </c>
      <c r="Q759" s="86">
        <f t="shared" si="158"/>
        <v>4856.2914389799635</v>
      </c>
      <c r="R759" s="97">
        <v>42000</v>
      </c>
      <c r="S759" s="55" t="s">
        <v>843</v>
      </c>
      <c r="T759" s="92" t="s">
        <v>773</v>
      </c>
      <c r="X759" s="190"/>
    </row>
    <row r="760" spans="1:24" s="186" customFormat="1" ht="15">
      <c r="A760" s="10">
        <f t="shared" si="159"/>
        <v>581</v>
      </c>
      <c r="B760" s="13" t="s">
        <v>27</v>
      </c>
      <c r="C760" s="92">
        <v>1956</v>
      </c>
      <c r="D760" s="95"/>
      <c r="E760" s="92" t="s">
        <v>94</v>
      </c>
      <c r="F760" s="95">
        <v>2</v>
      </c>
      <c r="G760" s="95">
        <v>2</v>
      </c>
      <c r="H760" s="97">
        <v>338.4</v>
      </c>
      <c r="I760" s="97">
        <v>287.64</v>
      </c>
      <c r="J760" s="97">
        <v>240.75</v>
      </c>
      <c r="K760" s="96">
        <v>27</v>
      </c>
      <c r="L760" s="86">
        <f>'виды работ  (2)'!C759</f>
        <v>101610</v>
      </c>
      <c r="M760" s="86">
        <v>0</v>
      </c>
      <c r="N760" s="86">
        <v>0</v>
      </c>
      <c r="O760" s="86">
        <v>0</v>
      </c>
      <c r="P760" s="86">
        <f t="shared" si="157"/>
        <v>101610</v>
      </c>
      <c r="Q760" s="86">
        <f t="shared" si="158"/>
        <v>300.26595744680856</v>
      </c>
      <c r="R760" s="97">
        <v>42000</v>
      </c>
      <c r="S760" s="55" t="s">
        <v>843</v>
      </c>
      <c r="T760" s="92" t="s">
        <v>773</v>
      </c>
      <c r="X760" s="190"/>
    </row>
    <row r="761" spans="1:24" s="186" customFormat="1" ht="15">
      <c r="A761" s="10">
        <f t="shared" si="159"/>
        <v>582</v>
      </c>
      <c r="B761" s="13" t="s">
        <v>26</v>
      </c>
      <c r="C761" s="92">
        <v>1945</v>
      </c>
      <c r="D761" s="95"/>
      <c r="E761" s="92" t="s">
        <v>465</v>
      </c>
      <c r="F761" s="95">
        <v>2</v>
      </c>
      <c r="G761" s="95">
        <v>1</v>
      </c>
      <c r="H761" s="97">
        <v>220.53</v>
      </c>
      <c r="I761" s="97">
        <v>187.45</v>
      </c>
      <c r="J761" s="97">
        <v>147.3</v>
      </c>
      <c r="K761" s="96">
        <v>12</v>
      </c>
      <c r="L761" s="86">
        <f>'виды работ  (2)'!C760</f>
        <v>66215</v>
      </c>
      <c r="M761" s="86">
        <v>0</v>
      </c>
      <c r="N761" s="86">
        <v>0</v>
      </c>
      <c r="O761" s="86">
        <v>0</v>
      </c>
      <c r="P761" s="86">
        <f t="shared" si="157"/>
        <v>66215</v>
      </c>
      <c r="Q761" s="86">
        <f t="shared" si="158"/>
        <v>300.25393370516485</v>
      </c>
      <c r="R761" s="97">
        <v>42000</v>
      </c>
      <c r="S761" s="55" t="s">
        <v>843</v>
      </c>
      <c r="T761" s="92" t="s">
        <v>773</v>
      </c>
      <c r="X761" s="190"/>
    </row>
    <row r="762" spans="1:24" s="186" customFormat="1" ht="15">
      <c r="A762" s="10">
        <f t="shared" si="159"/>
        <v>583</v>
      </c>
      <c r="B762" s="13" t="s">
        <v>28</v>
      </c>
      <c r="C762" s="92">
        <v>1917</v>
      </c>
      <c r="D762" s="95"/>
      <c r="E762" s="92" t="s">
        <v>465</v>
      </c>
      <c r="F762" s="95">
        <v>2</v>
      </c>
      <c r="G762" s="95">
        <v>2</v>
      </c>
      <c r="H762" s="97">
        <v>336.79</v>
      </c>
      <c r="I762" s="97">
        <v>286.27</v>
      </c>
      <c r="J762" s="97">
        <v>229.19</v>
      </c>
      <c r="K762" s="96">
        <v>29</v>
      </c>
      <c r="L762" s="86">
        <f>'виды работ  (2)'!C761</f>
        <v>92015</v>
      </c>
      <c r="M762" s="86">
        <v>0</v>
      </c>
      <c r="N762" s="86">
        <v>0</v>
      </c>
      <c r="O762" s="86">
        <v>0</v>
      </c>
      <c r="P762" s="86">
        <f t="shared" si="157"/>
        <v>92015</v>
      </c>
      <c r="Q762" s="86">
        <f t="shared" si="158"/>
        <v>273.2117936993379</v>
      </c>
      <c r="R762" s="97">
        <v>42000</v>
      </c>
      <c r="S762" s="55" t="s">
        <v>843</v>
      </c>
      <c r="T762" s="92" t="s">
        <v>773</v>
      </c>
      <c r="X762" s="190"/>
    </row>
    <row r="763" spans="1:24" s="186" customFormat="1" ht="15">
      <c r="A763" s="10">
        <f t="shared" si="159"/>
        <v>584</v>
      </c>
      <c r="B763" s="13" t="s">
        <v>29</v>
      </c>
      <c r="C763" s="92">
        <v>1960</v>
      </c>
      <c r="D763" s="95"/>
      <c r="E763" s="92" t="s">
        <v>94</v>
      </c>
      <c r="F763" s="95">
        <v>2</v>
      </c>
      <c r="G763" s="95">
        <v>3</v>
      </c>
      <c r="H763" s="97">
        <v>744.5</v>
      </c>
      <c r="I763" s="97">
        <v>632.83</v>
      </c>
      <c r="J763" s="97">
        <v>424.5</v>
      </c>
      <c r="K763" s="96">
        <v>20</v>
      </c>
      <c r="L763" s="86">
        <f>'виды работ  (2)'!C762</f>
        <v>104656</v>
      </c>
      <c r="M763" s="86">
        <v>0</v>
      </c>
      <c r="N763" s="86">
        <v>0</v>
      </c>
      <c r="O763" s="86">
        <v>0</v>
      </c>
      <c r="P763" s="86">
        <f t="shared" si="157"/>
        <v>104656</v>
      </c>
      <c r="Q763" s="86">
        <f t="shared" si="158"/>
        <v>140.5721961047683</v>
      </c>
      <c r="R763" s="97">
        <v>42000</v>
      </c>
      <c r="S763" s="55" t="s">
        <v>843</v>
      </c>
      <c r="T763" s="92" t="s">
        <v>773</v>
      </c>
      <c r="X763" s="190"/>
    </row>
    <row r="764" spans="1:24" s="186" customFormat="1" ht="15">
      <c r="A764" s="10">
        <f t="shared" si="159"/>
        <v>585</v>
      </c>
      <c r="B764" s="13" t="s">
        <v>30</v>
      </c>
      <c r="C764" s="92">
        <v>1917</v>
      </c>
      <c r="D764" s="95"/>
      <c r="E764" s="92" t="s">
        <v>465</v>
      </c>
      <c r="F764" s="95">
        <v>2</v>
      </c>
      <c r="G764" s="95">
        <v>1</v>
      </c>
      <c r="H764" s="97">
        <v>283.9</v>
      </c>
      <c r="I764" s="97">
        <v>241.32</v>
      </c>
      <c r="J764" s="97">
        <v>185.6</v>
      </c>
      <c r="K764" s="96">
        <v>30</v>
      </c>
      <c r="L764" s="86">
        <f>'виды работ  (2)'!C763</f>
        <v>72305</v>
      </c>
      <c r="M764" s="86">
        <v>0</v>
      </c>
      <c r="N764" s="86">
        <v>0</v>
      </c>
      <c r="O764" s="86">
        <v>0</v>
      </c>
      <c r="P764" s="86">
        <f t="shared" si="157"/>
        <v>72305</v>
      </c>
      <c r="Q764" s="86">
        <f t="shared" si="158"/>
        <v>254.68474815075734</v>
      </c>
      <c r="R764" s="97">
        <v>42000</v>
      </c>
      <c r="S764" s="55" t="s">
        <v>843</v>
      </c>
      <c r="T764" s="92" t="s">
        <v>773</v>
      </c>
      <c r="X764" s="190"/>
    </row>
    <row r="765" spans="1:24" s="186" customFormat="1" ht="15">
      <c r="A765" s="10">
        <f t="shared" si="159"/>
        <v>586</v>
      </c>
      <c r="B765" s="13" t="s">
        <v>828</v>
      </c>
      <c r="C765" s="92">
        <v>1958</v>
      </c>
      <c r="D765" s="95"/>
      <c r="E765" s="92" t="s">
        <v>94</v>
      </c>
      <c r="F765" s="95">
        <v>2</v>
      </c>
      <c r="G765" s="95">
        <v>1</v>
      </c>
      <c r="H765" s="97">
        <v>400.95</v>
      </c>
      <c r="I765" s="97">
        <v>365.35</v>
      </c>
      <c r="J765" s="97">
        <v>264.29</v>
      </c>
      <c r="K765" s="96">
        <v>15</v>
      </c>
      <c r="L765" s="86">
        <f>'виды работ  (2)'!C764</f>
        <v>1626636</v>
      </c>
      <c r="M765" s="86">
        <v>0</v>
      </c>
      <c r="N765" s="86">
        <v>0</v>
      </c>
      <c r="O765" s="86">
        <v>0</v>
      </c>
      <c r="P765" s="86">
        <f t="shared" si="157"/>
        <v>1626636</v>
      </c>
      <c r="Q765" s="86">
        <f t="shared" si="158"/>
        <v>4056.954732510288</v>
      </c>
      <c r="R765" s="97">
        <v>42000</v>
      </c>
      <c r="S765" s="55" t="s">
        <v>843</v>
      </c>
      <c r="T765" s="92" t="s">
        <v>773</v>
      </c>
      <c r="X765" s="190"/>
    </row>
    <row r="766" spans="1:24" s="186" customFormat="1" ht="15">
      <c r="A766" s="10">
        <f t="shared" si="159"/>
        <v>587</v>
      </c>
      <c r="B766" s="13" t="s">
        <v>829</v>
      </c>
      <c r="C766" s="92">
        <v>1950</v>
      </c>
      <c r="D766" s="95"/>
      <c r="E766" s="92" t="s">
        <v>465</v>
      </c>
      <c r="F766" s="95">
        <v>2</v>
      </c>
      <c r="G766" s="95">
        <v>1</v>
      </c>
      <c r="H766" s="97">
        <v>327.2</v>
      </c>
      <c r="I766" s="97">
        <v>269.2</v>
      </c>
      <c r="J766" s="97">
        <v>161.6</v>
      </c>
      <c r="K766" s="96">
        <v>18</v>
      </c>
      <c r="L766" s="86">
        <f>'виды работ  (2)'!C765</f>
        <v>68136</v>
      </c>
      <c r="M766" s="86">
        <v>0</v>
      </c>
      <c r="N766" s="86">
        <v>0</v>
      </c>
      <c r="O766" s="86">
        <v>0</v>
      </c>
      <c r="P766" s="86">
        <f t="shared" si="157"/>
        <v>68136</v>
      </c>
      <c r="Q766" s="86">
        <f t="shared" si="158"/>
        <v>208.239608801956</v>
      </c>
      <c r="R766" s="97">
        <v>42000</v>
      </c>
      <c r="S766" s="55" t="s">
        <v>843</v>
      </c>
      <c r="T766" s="92" t="s">
        <v>773</v>
      </c>
      <c r="X766" s="190"/>
    </row>
    <row r="767" spans="1:24" s="186" customFormat="1" ht="15">
      <c r="A767" s="10">
        <f t="shared" si="159"/>
        <v>588</v>
      </c>
      <c r="B767" s="13" t="s">
        <v>830</v>
      </c>
      <c r="C767" s="92">
        <v>1979</v>
      </c>
      <c r="D767" s="95"/>
      <c r="E767" s="92" t="s">
        <v>94</v>
      </c>
      <c r="F767" s="95">
        <v>2</v>
      </c>
      <c r="G767" s="95">
        <v>2</v>
      </c>
      <c r="H767" s="97">
        <v>621.2</v>
      </c>
      <c r="I767" s="97">
        <v>568.3</v>
      </c>
      <c r="J767" s="97">
        <v>521.6</v>
      </c>
      <c r="K767" s="96">
        <v>28</v>
      </c>
      <c r="L767" s="86">
        <f>'виды работ  (2)'!C766</f>
        <v>833617</v>
      </c>
      <c r="M767" s="86">
        <v>0</v>
      </c>
      <c r="N767" s="86">
        <v>0</v>
      </c>
      <c r="O767" s="86">
        <v>0</v>
      </c>
      <c r="P767" s="86">
        <f t="shared" si="157"/>
        <v>833617</v>
      </c>
      <c r="Q767" s="86">
        <f t="shared" si="158"/>
        <v>1341.946233097231</v>
      </c>
      <c r="R767" s="97">
        <v>42000</v>
      </c>
      <c r="S767" s="55" t="s">
        <v>843</v>
      </c>
      <c r="T767" s="92" t="s">
        <v>773</v>
      </c>
      <c r="X767" s="190"/>
    </row>
    <row r="768" spans="1:24" s="186" customFormat="1" ht="15">
      <c r="A768" s="10">
        <f t="shared" si="159"/>
        <v>589</v>
      </c>
      <c r="B768" s="13" t="s">
        <v>831</v>
      </c>
      <c r="C768" s="92">
        <v>1976</v>
      </c>
      <c r="D768" s="95"/>
      <c r="E768" s="92" t="s">
        <v>94</v>
      </c>
      <c r="F768" s="95">
        <v>2</v>
      </c>
      <c r="G768" s="95">
        <v>1</v>
      </c>
      <c r="H768" s="97">
        <v>433.87</v>
      </c>
      <c r="I768" s="97">
        <v>399.77</v>
      </c>
      <c r="J768" s="97">
        <v>341.35</v>
      </c>
      <c r="K768" s="96">
        <v>23</v>
      </c>
      <c r="L768" s="86">
        <f>'виды работ  (2)'!C767</f>
        <v>472924</v>
      </c>
      <c r="M768" s="86">
        <v>0</v>
      </c>
      <c r="N768" s="86">
        <v>0</v>
      </c>
      <c r="O768" s="86">
        <v>0</v>
      </c>
      <c r="P768" s="86">
        <f t="shared" si="157"/>
        <v>472924</v>
      </c>
      <c r="Q768" s="86">
        <f t="shared" si="158"/>
        <v>1090.0131375757715</v>
      </c>
      <c r="R768" s="97">
        <v>42000</v>
      </c>
      <c r="S768" s="55" t="s">
        <v>843</v>
      </c>
      <c r="T768" s="92" t="s">
        <v>773</v>
      </c>
      <c r="X768" s="190"/>
    </row>
    <row r="769" spans="1:24" s="186" customFormat="1" ht="15">
      <c r="A769" s="10">
        <f t="shared" si="159"/>
        <v>590</v>
      </c>
      <c r="B769" s="13" t="s">
        <v>31</v>
      </c>
      <c r="C769" s="92">
        <v>1962</v>
      </c>
      <c r="D769" s="95"/>
      <c r="E769" s="92" t="s">
        <v>94</v>
      </c>
      <c r="F769" s="95">
        <v>2</v>
      </c>
      <c r="G769" s="95">
        <v>2</v>
      </c>
      <c r="H769" s="97">
        <v>440.59</v>
      </c>
      <c r="I769" s="97">
        <v>374.5</v>
      </c>
      <c r="J769" s="97">
        <v>279.2</v>
      </c>
      <c r="K769" s="96">
        <v>29</v>
      </c>
      <c r="L769" s="86">
        <f>'виды работ  (2)'!C768</f>
        <v>108143</v>
      </c>
      <c r="M769" s="86">
        <v>0</v>
      </c>
      <c r="N769" s="86">
        <v>0</v>
      </c>
      <c r="O769" s="86">
        <v>0</v>
      </c>
      <c r="P769" s="86">
        <f t="shared" si="157"/>
        <v>108143</v>
      </c>
      <c r="Q769" s="86">
        <f t="shared" si="158"/>
        <v>245.4504187566672</v>
      </c>
      <c r="R769" s="97">
        <v>42000</v>
      </c>
      <c r="S769" s="55" t="s">
        <v>843</v>
      </c>
      <c r="T769" s="92" t="s">
        <v>773</v>
      </c>
      <c r="X769" s="190"/>
    </row>
    <row r="770" spans="1:24" s="186" customFormat="1" ht="15">
      <c r="A770" s="10">
        <f t="shared" si="159"/>
        <v>591</v>
      </c>
      <c r="B770" s="13" t="s">
        <v>32</v>
      </c>
      <c r="C770" s="92">
        <v>1917</v>
      </c>
      <c r="D770" s="95"/>
      <c r="E770" s="92" t="s">
        <v>465</v>
      </c>
      <c r="F770" s="95">
        <v>2</v>
      </c>
      <c r="G770" s="95">
        <v>1</v>
      </c>
      <c r="H770" s="97">
        <v>223.13</v>
      </c>
      <c r="I770" s="97">
        <v>189.66</v>
      </c>
      <c r="J770" s="97">
        <v>153.1</v>
      </c>
      <c r="K770" s="96">
        <v>23</v>
      </c>
      <c r="L770" s="86">
        <f>'виды работ  (2)'!C769</f>
        <v>70426</v>
      </c>
      <c r="M770" s="86">
        <v>0</v>
      </c>
      <c r="N770" s="86">
        <v>0</v>
      </c>
      <c r="O770" s="86">
        <v>0</v>
      </c>
      <c r="P770" s="86">
        <f t="shared" si="157"/>
        <v>70426</v>
      </c>
      <c r="Q770" s="86">
        <f t="shared" si="158"/>
        <v>315.6276610047954</v>
      </c>
      <c r="R770" s="97">
        <v>42000</v>
      </c>
      <c r="S770" s="55" t="s">
        <v>843</v>
      </c>
      <c r="T770" s="92" t="s">
        <v>773</v>
      </c>
      <c r="X770" s="190"/>
    </row>
    <row r="771" spans="1:24" s="186" customFormat="1" ht="15">
      <c r="A771" s="10">
        <f t="shared" si="159"/>
        <v>592</v>
      </c>
      <c r="B771" s="13" t="s">
        <v>34</v>
      </c>
      <c r="C771" s="92">
        <v>1917</v>
      </c>
      <c r="D771" s="95"/>
      <c r="E771" s="92" t="s">
        <v>465</v>
      </c>
      <c r="F771" s="95">
        <v>2</v>
      </c>
      <c r="G771" s="95">
        <v>2</v>
      </c>
      <c r="H771" s="97">
        <v>130.7</v>
      </c>
      <c r="I771" s="97">
        <v>111.1</v>
      </c>
      <c r="J771" s="97">
        <v>89.7</v>
      </c>
      <c r="K771" s="96">
        <v>5</v>
      </c>
      <c r="L771" s="86">
        <f>'виды работ  (2)'!C770</f>
        <v>57374</v>
      </c>
      <c r="M771" s="86">
        <v>0</v>
      </c>
      <c r="N771" s="86">
        <v>0</v>
      </c>
      <c r="O771" s="86">
        <v>0</v>
      </c>
      <c r="P771" s="86">
        <f t="shared" si="157"/>
        <v>57374</v>
      </c>
      <c r="Q771" s="86">
        <f t="shared" si="158"/>
        <v>438.9747513389442</v>
      </c>
      <c r="R771" s="97">
        <v>42000</v>
      </c>
      <c r="S771" s="55" t="s">
        <v>843</v>
      </c>
      <c r="T771" s="92" t="s">
        <v>773</v>
      </c>
      <c r="X771" s="190"/>
    </row>
    <row r="772" spans="1:24" s="186" customFormat="1" ht="15">
      <c r="A772" s="10">
        <f t="shared" si="159"/>
        <v>593</v>
      </c>
      <c r="B772" s="13" t="s">
        <v>35</v>
      </c>
      <c r="C772" s="92">
        <v>1955</v>
      </c>
      <c r="D772" s="95"/>
      <c r="E772" s="92" t="s">
        <v>465</v>
      </c>
      <c r="F772" s="95">
        <v>2</v>
      </c>
      <c r="G772" s="95">
        <v>1</v>
      </c>
      <c r="H772" s="97">
        <v>122.8</v>
      </c>
      <c r="I772" s="97">
        <v>104.38</v>
      </c>
      <c r="J772" s="97">
        <v>74.7</v>
      </c>
      <c r="K772" s="96">
        <v>5</v>
      </c>
      <c r="L772" s="86">
        <f>'виды работ  (2)'!C771</f>
        <v>57248</v>
      </c>
      <c r="M772" s="86">
        <v>0</v>
      </c>
      <c r="N772" s="86">
        <v>0</v>
      </c>
      <c r="O772" s="86">
        <v>0</v>
      </c>
      <c r="P772" s="86">
        <f t="shared" si="157"/>
        <v>57248</v>
      </c>
      <c r="Q772" s="86">
        <f t="shared" si="158"/>
        <v>466.18892508143324</v>
      </c>
      <c r="R772" s="97">
        <v>42000</v>
      </c>
      <c r="S772" s="55" t="s">
        <v>843</v>
      </c>
      <c r="T772" s="92" t="s">
        <v>773</v>
      </c>
      <c r="X772" s="190"/>
    </row>
    <row r="773" spans="1:24" s="186" customFormat="1" ht="15">
      <c r="A773" s="10">
        <f t="shared" si="159"/>
        <v>594</v>
      </c>
      <c r="B773" s="13" t="s">
        <v>33</v>
      </c>
      <c r="C773" s="92">
        <v>1917</v>
      </c>
      <c r="D773" s="95"/>
      <c r="E773" s="92" t="s">
        <v>465</v>
      </c>
      <c r="F773" s="95">
        <v>2</v>
      </c>
      <c r="G773" s="95">
        <v>1</v>
      </c>
      <c r="H773" s="97">
        <v>255.3</v>
      </c>
      <c r="I773" s="97">
        <v>217.01</v>
      </c>
      <c r="J773" s="97">
        <v>183.3</v>
      </c>
      <c r="K773" s="96">
        <v>17</v>
      </c>
      <c r="L773" s="86">
        <f>'виды работ  (2)'!C772</f>
        <v>69113</v>
      </c>
      <c r="M773" s="86">
        <v>0</v>
      </c>
      <c r="N773" s="86">
        <v>0</v>
      </c>
      <c r="O773" s="86">
        <v>0</v>
      </c>
      <c r="P773" s="86">
        <f t="shared" si="157"/>
        <v>69113</v>
      </c>
      <c r="Q773" s="86">
        <f t="shared" si="158"/>
        <v>270.7128867998433</v>
      </c>
      <c r="R773" s="97">
        <v>42000</v>
      </c>
      <c r="S773" s="55" t="s">
        <v>843</v>
      </c>
      <c r="T773" s="92" t="s">
        <v>773</v>
      </c>
      <c r="X773" s="190"/>
    </row>
    <row r="774" spans="1:24" s="186" customFormat="1" ht="15">
      <c r="A774" s="10">
        <f t="shared" si="159"/>
        <v>595</v>
      </c>
      <c r="B774" s="13" t="s">
        <v>36</v>
      </c>
      <c r="C774" s="92"/>
      <c r="D774" s="95"/>
      <c r="E774" s="92" t="s">
        <v>94</v>
      </c>
      <c r="F774" s="95">
        <v>2</v>
      </c>
      <c r="G774" s="95">
        <v>1</v>
      </c>
      <c r="H774" s="97">
        <v>263.7</v>
      </c>
      <c r="I774" s="97">
        <v>221.15</v>
      </c>
      <c r="J774" s="97">
        <v>177.5</v>
      </c>
      <c r="K774" s="96"/>
      <c r="L774" s="86">
        <f>'виды работ  (2)'!C773</f>
        <v>73730</v>
      </c>
      <c r="M774" s="86">
        <v>0</v>
      </c>
      <c r="N774" s="86">
        <v>0</v>
      </c>
      <c r="O774" s="86">
        <v>0</v>
      </c>
      <c r="P774" s="86">
        <f t="shared" si="157"/>
        <v>73730</v>
      </c>
      <c r="Q774" s="86">
        <f t="shared" si="158"/>
        <v>279.5980280621919</v>
      </c>
      <c r="R774" s="97">
        <v>42000</v>
      </c>
      <c r="S774" s="55" t="s">
        <v>843</v>
      </c>
      <c r="T774" s="92" t="s">
        <v>773</v>
      </c>
      <c r="X774" s="190"/>
    </row>
    <row r="775" spans="1:24" s="186" customFormat="1" ht="15">
      <c r="A775" s="10">
        <f t="shared" si="159"/>
        <v>596</v>
      </c>
      <c r="B775" s="13" t="s">
        <v>37</v>
      </c>
      <c r="C775" s="92">
        <v>1957</v>
      </c>
      <c r="D775" s="95"/>
      <c r="E775" s="92" t="s">
        <v>94</v>
      </c>
      <c r="F775" s="95">
        <v>2</v>
      </c>
      <c r="G775" s="95">
        <v>2</v>
      </c>
      <c r="H775" s="97">
        <v>557.1</v>
      </c>
      <c r="I775" s="97">
        <v>476.3</v>
      </c>
      <c r="J775" s="97">
        <v>306</v>
      </c>
      <c r="K775" s="96">
        <v>22</v>
      </c>
      <c r="L775" s="86">
        <f>'виды работ  (2)'!C774</f>
        <v>106876</v>
      </c>
      <c r="M775" s="86">
        <v>0</v>
      </c>
      <c r="N775" s="86">
        <v>0</v>
      </c>
      <c r="O775" s="86">
        <v>0</v>
      </c>
      <c r="P775" s="86">
        <f t="shared" si="157"/>
        <v>106876</v>
      </c>
      <c r="Q775" s="86">
        <f t="shared" si="158"/>
        <v>191.84347513911325</v>
      </c>
      <c r="R775" s="97">
        <v>42000</v>
      </c>
      <c r="S775" s="55" t="s">
        <v>843</v>
      </c>
      <c r="T775" s="92" t="s">
        <v>773</v>
      </c>
      <c r="X775" s="190"/>
    </row>
    <row r="776" spans="1:24" s="186" customFormat="1" ht="15">
      <c r="A776" s="10">
        <f t="shared" si="159"/>
        <v>597</v>
      </c>
      <c r="B776" s="13" t="s">
        <v>50</v>
      </c>
      <c r="C776" s="92">
        <v>1958</v>
      </c>
      <c r="D776" s="95"/>
      <c r="E776" s="92" t="s">
        <v>465</v>
      </c>
      <c r="F776" s="95">
        <v>2</v>
      </c>
      <c r="G776" s="95">
        <v>1</v>
      </c>
      <c r="H776" s="97">
        <v>215.2</v>
      </c>
      <c r="I776" s="97">
        <v>182.92</v>
      </c>
      <c r="J776" s="97">
        <v>122.3</v>
      </c>
      <c r="K776" s="96">
        <v>16</v>
      </c>
      <c r="L776" s="86">
        <f>'виды работ  (2)'!C775</f>
        <v>65595</v>
      </c>
      <c r="M776" s="86">
        <v>0</v>
      </c>
      <c r="N776" s="86">
        <v>0</v>
      </c>
      <c r="O776" s="86">
        <v>0</v>
      </c>
      <c r="P776" s="86">
        <f t="shared" si="157"/>
        <v>65595</v>
      </c>
      <c r="Q776" s="86">
        <f t="shared" si="158"/>
        <v>304.8094795539034</v>
      </c>
      <c r="R776" s="97">
        <v>42000</v>
      </c>
      <c r="S776" s="55" t="s">
        <v>843</v>
      </c>
      <c r="T776" s="92" t="s">
        <v>773</v>
      </c>
      <c r="X776" s="190"/>
    </row>
    <row r="777" spans="1:24" s="186" customFormat="1" ht="15">
      <c r="A777" s="10">
        <f t="shared" si="159"/>
        <v>598</v>
      </c>
      <c r="B777" s="13" t="s">
        <v>51</v>
      </c>
      <c r="C777" s="92">
        <v>1958</v>
      </c>
      <c r="D777" s="95"/>
      <c r="E777" s="92" t="s">
        <v>465</v>
      </c>
      <c r="F777" s="95">
        <v>2</v>
      </c>
      <c r="G777" s="95">
        <v>1</v>
      </c>
      <c r="H777" s="97">
        <v>211.7</v>
      </c>
      <c r="I777" s="97">
        <v>179.95</v>
      </c>
      <c r="J777" s="97">
        <v>123.4</v>
      </c>
      <c r="K777" s="96">
        <v>10</v>
      </c>
      <c r="L777" s="86">
        <f>'виды работ  (2)'!C776</f>
        <v>79161</v>
      </c>
      <c r="M777" s="86">
        <v>0</v>
      </c>
      <c r="N777" s="86">
        <v>0</v>
      </c>
      <c r="O777" s="86">
        <v>0</v>
      </c>
      <c r="P777" s="86">
        <f t="shared" si="157"/>
        <v>79161</v>
      </c>
      <c r="Q777" s="86">
        <f t="shared" si="158"/>
        <v>373.93008974964573</v>
      </c>
      <c r="R777" s="97">
        <v>42000</v>
      </c>
      <c r="S777" s="55" t="s">
        <v>843</v>
      </c>
      <c r="T777" s="92" t="s">
        <v>773</v>
      </c>
      <c r="X777" s="190"/>
    </row>
    <row r="778" spans="1:24" s="186" customFormat="1" ht="15">
      <c r="A778" s="10">
        <f t="shared" si="159"/>
        <v>599</v>
      </c>
      <c r="B778" s="13" t="s">
        <v>38</v>
      </c>
      <c r="C778" s="92">
        <v>1917</v>
      </c>
      <c r="D778" s="95"/>
      <c r="E778" s="92" t="s">
        <v>465</v>
      </c>
      <c r="F778" s="95">
        <v>2</v>
      </c>
      <c r="G778" s="95">
        <v>1</v>
      </c>
      <c r="H778" s="97">
        <v>110.24</v>
      </c>
      <c r="I778" s="97">
        <v>93.7</v>
      </c>
      <c r="J778" s="97">
        <v>79.55</v>
      </c>
      <c r="K778" s="96">
        <v>8</v>
      </c>
      <c r="L778" s="86">
        <f>'виды работ  (2)'!C777</f>
        <v>55869</v>
      </c>
      <c r="M778" s="86">
        <v>0</v>
      </c>
      <c r="N778" s="86">
        <v>0</v>
      </c>
      <c r="O778" s="86">
        <v>0</v>
      </c>
      <c r="P778" s="86">
        <f t="shared" si="157"/>
        <v>55869</v>
      </c>
      <c r="Q778" s="86">
        <f t="shared" si="158"/>
        <v>506.79426705370105</v>
      </c>
      <c r="R778" s="97">
        <v>42000</v>
      </c>
      <c r="S778" s="55" t="s">
        <v>843</v>
      </c>
      <c r="T778" s="92" t="s">
        <v>773</v>
      </c>
      <c r="X778" s="190"/>
    </row>
    <row r="779" spans="1:24" s="186" customFormat="1" ht="15">
      <c r="A779" s="10">
        <f t="shared" si="159"/>
        <v>600</v>
      </c>
      <c r="B779" s="13" t="s">
        <v>39</v>
      </c>
      <c r="C779" s="92">
        <v>1916</v>
      </c>
      <c r="D779" s="95"/>
      <c r="E779" s="92" t="s">
        <v>465</v>
      </c>
      <c r="F779" s="95">
        <v>2</v>
      </c>
      <c r="G779" s="95">
        <v>1</v>
      </c>
      <c r="H779" s="97">
        <v>212.6</v>
      </c>
      <c r="I779" s="97">
        <v>180.71</v>
      </c>
      <c r="J779" s="97">
        <v>127.3</v>
      </c>
      <c r="K779" s="96">
        <v>12</v>
      </c>
      <c r="L779" s="86">
        <f>'виды работ  (2)'!C778</f>
        <v>72047</v>
      </c>
      <c r="M779" s="86">
        <v>0</v>
      </c>
      <c r="N779" s="86">
        <v>0</v>
      </c>
      <c r="O779" s="86">
        <v>0</v>
      </c>
      <c r="P779" s="86">
        <f t="shared" si="157"/>
        <v>72047</v>
      </c>
      <c r="Q779" s="86">
        <f t="shared" si="158"/>
        <v>338.88523047977424</v>
      </c>
      <c r="R779" s="97">
        <v>42000</v>
      </c>
      <c r="S779" s="55" t="s">
        <v>843</v>
      </c>
      <c r="T779" s="92" t="s">
        <v>773</v>
      </c>
      <c r="X779" s="190"/>
    </row>
    <row r="780" spans="1:24" s="186" customFormat="1" ht="15">
      <c r="A780" s="10">
        <f t="shared" si="159"/>
        <v>601</v>
      </c>
      <c r="B780" s="13" t="s">
        <v>40</v>
      </c>
      <c r="C780" s="92">
        <v>1916</v>
      </c>
      <c r="D780" s="95"/>
      <c r="E780" s="92" t="s">
        <v>465</v>
      </c>
      <c r="F780" s="95">
        <v>2</v>
      </c>
      <c r="G780" s="95">
        <v>1</v>
      </c>
      <c r="H780" s="97">
        <v>277.7</v>
      </c>
      <c r="I780" s="97">
        <v>236.05</v>
      </c>
      <c r="J780" s="97">
        <v>193.1</v>
      </c>
      <c r="K780" s="96">
        <v>22</v>
      </c>
      <c r="L780" s="86">
        <f>'виды работ  (2)'!C779</f>
        <v>84954</v>
      </c>
      <c r="M780" s="86">
        <v>0</v>
      </c>
      <c r="N780" s="86">
        <v>0</v>
      </c>
      <c r="O780" s="86">
        <v>0</v>
      </c>
      <c r="P780" s="86">
        <f t="shared" si="157"/>
        <v>84954</v>
      </c>
      <c r="Q780" s="86">
        <f t="shared" si="158"/>
        <v>305.9200576161325</v>
      </c>
      <c r="R780" s="97">
        <v>42000</v>
      </c>
      <c r="S780" s="55" t="s">
        <v>843</v>
      </c>
      <c r="T780" s="92" t="s">
        <v>773</v>
      </c>
      <c r="X780" s="190"/>
    </row>
    <row r="781" spans="1:24" s="186" customFormat="1" ht="15">
      <c r="A781" s="10">
        <f t="shared" si="159"/>
        <v>602</v>
      </c>
      <c r="B781" s="13" t="s">
        <v>41</v>
      </c>
      <c r="C781" s="92">
        <v>1960</v>
      </c>
      <c r="D781" s="95"/>
      <c r="E781" s="92" t="s">
        <v>465</v>
      </c>
      <c r="F781" s="95">
        <v>2</v>
      </c>
      <c r="G781" s="95">
        <v>1</v>
      </c>
      <c r="H781" s="97">
        <v>379.1</v>
      </c>
      <c r="I781" s="97">
        <v>322.24</v>
      </c>
      <c r="J781" s="97">
        <v>273.2</v>
      </c>
      <c r="K781" s="96">
        <v>30</v>
      </c>
      <c r="L781" s="86">
        <f>'виды работ  (2)'!C780</f>
        <v>104370</v>
      </c>
      <c r="M781" s="86">
        <v>0</v>
      </c>
      <c r="N781" s="86">
        <v>0</v>
      </c>
      <c r="O781" s="86">
        <v>0</v>
      </c>
      <c r="P781" s="86">
        <f t="shared" si="157"/>
        <v>104370</v>
      </c>
      <c r="Q781" s="86">
        <f t="shared" si="158"/>
        <v>275.30994460564494</v>
      </c>
      <c r="R781" s="97">
        <v>42000</v>
      </c>
      <c r="S781" s="55" t="s">
        <v>843</v>
      </c>
      <c r="T781" s="92" t="s">
        <v>773</v>
      </c>
      <c r="X781" s="190"/>
    </row>
    <row r="782" spans="1:24" s="186" customFormat="1" ht="15">
      <c r="A782" s="10">
        <f t="shared" si="159"/>
        <v>603</v>
      </c>
      <c r="B782" s="13" t="s">
        <v>42</v>
      </c>
      <c r="C782" s="92">
        <v>1960</v>
      </c>
      <c r="D782" s="95"/>
      <c r="E782" s="92" t="s">
        <v>94</v>
      </c>
      <c r="F782" s="95">
        <v>2</v>
      </c>
      <c r="G782" s="95">
        <v>2</v>
      </c>
      <c r="H782" s="97">
        <v>452</v>
      </c>
      <c r="I782" s="97">
        <v>384.2</v>
      </c>
      <c r="J782" s="97">
        <v>90.3</v>
      </c>
      <c r="K782" s="96">
        <v>25</v>
      </c>
      <c r="L782" s="86">
        <f>'виды работ  (2)'!C781</f>
        <v>108579</v>
      </c>
      <c r="M782" s="86">
        <v>0</v>
      </c>
      <c r="N782" s="86">
        <v>0</v>
      </c>
      <c r="O782" s="86">
        <v>0</v>
      </c>
      <c r="P782" s="86">
        <f t="shared" si="157"/>
        <v>108579</v>
      </c>
      <c r="Q782" s="86">
        <f t="shared" si="158"/>
        <v>240.21902654867256</v>
      </c>
      <c r="R782" s="97">
        <v>42000</v>
      </c>
      <c r="S782" s="55" t="s">
        <v>843</v>
      </c>
      <c r="T782" s="92" t="s">
        <v>773</v>
      </c>
      <c r="X782" s="190"/>
    </row>
    <row r="783" spans="1:24" s="186" customFormat="1" ht="15">
      <c r="A783" s="10">
        <f t="shared" si="159"/>
        <v>604</v>
      </c>
      <c r="B783" s="13" t="s">
        <v>43</v>
      </c>
      <c r="C783" s="92">
        <v>1953</v>
      </c>
      <c r="D783" s="95"/>
      <c r="E783" s="92" t="s">
        <v>94</v>
      </c>
      <c r="F783" s="95">
        <v>2</v>
      </c>
      <c r="G783" s="95">
        <v>1</v>
      </c>
      <c r="H783" s="97">
        <v>684.4</v>
      </c>
      <c r="I783" s="97">
        <v>581.74</v>
      </c>
      <c r="J783" s="97">
        <v>441.03</v>
      </c>
      <c r="K783" s="96">
        <v>24</v>
      </c>
      <c r="L783" s="86">
        <f>'виды работ  (2)'!C782</f>
        <v>108211</v>
      </c>
      <c r="M783" s="86">
        <v>0</v>
      </c>
      <c r="N783" s="86">
        <v>0</v>
      </c>
      <c r="O783" s="86">
        <v>0</v>
      </c>
      <c r="P783" s="86">
        <f t="shared" si="157"/>
        <v>108211</v>
      </c>
      <c r="Q783" s="86">
        <f t="shared" si="158"/>
        <v>158.11075394506136</v>
      </c>
      <c r="R783" s="97">
        <v>42000</v>
      </c>
      <c r="S783" s="55" t="s">
        <v>843</v>
      </c>
      <c r="T783" s="92" t="s">
        <v>773</v>
      </c>
      <c r="X783" s="190"/>
    </row>
    <row r="784" spans="1:24" s="186" customFormat="1" ht="15">
      <c r="A784" s="10">
        <f t="shared" si="159"/>
        <v>605</v>
      </c>
      <c r="B784" s="13" t="s">
        <v>44</v>
      </c>
      <c r="C784" s="92">
        <v>1957</v>
      </c>
      <c r="D784" s="95"/>
      <c r="E784" s="92" t="s">
        <v>465</v>
      </c>
      <c r="F784" s="95">
        <v>2</v>
      </c>
      <c r="G784" s="95">
        <v>1</v>
      </c>
      <c r="H784" s="97">
        <v>320.8</v>
      </c>
      <c r="I784" s="97">
        <v>272.68</v>
      </c>
      <c r="J784" s="97">
        <v>183.96</v>
      </c>
      <c r="K784" s="96">
        <v>17</v>
      </c>
      <c r="L784" s="86">
        <f>'виды работ  (2)'!C783</f>
        <v>81675</v>
      </c>
      <c r="M784" s="86">
        <v>0</v>
      </c>
      <c r="N784" s="86">
        <v>0</v>
      </c>
      <c r="O784" s="86">
        <v>0</v>
      </c>
      <c r="P784" s="86">
        <f t="shared" si="157"/>
        <v>81675</v>
      </c>
      <c r="Q784" s="86">
        <f t="shared" si="158"/>
        <v>254.59788029925187</v>
      </c>
      <c r="R784" s="97">
        <v>42000</v>
      </c>
      <c r="S784" s="55" t="s">
        <v>843</v>
      </c>
      <c r="T784" s="92" t="s">
        <v>773</v>
      </c>
      <c r="X784" s="190"/>
    </row>
    <row r="785" spans="1:24" s="186" customFormat="1" ht="15">
      <c r="A785" s="10">
        <f t="shared" si="159"/>
        <v>606</v>
      </c>
      <c r="B785" s="13" t="s">
        <v>45</v>
      </c>
      <c r="C785" s="92">
        <v>1960</v>
      </c>
      <c r="D785" s="95"/>
      <c r="E785" s="92" t="s">
        <v>94</v>
      </c>
      <c r="F785" s="95">
        <v>2</v>
      </c>
      <c r="G785" s="95">
        <v>1</v>
      </c>
      <c r="H785" s="97">
        <v>377.8</v>
      </c>
      <c r="I785" s="97">
        <v>321.13</v>
      </c>
      <c r="J785" s="97">
        <v>250.3</v>
      </c>
      <c r="K785" s="96">
        <v>15</v>
      </c>
      <c r="L785" s="86">
        <f>'виды работ  (2)'!C784</f>
        <v>97944</v>
      </c>
      <c r="M785" s="86">
        <v>0</v>
      </c>
      <c r="N785" s="86">
        <v>0</v>
      </c>
      <c r="O785" s="86">
        <v>0</v>
      </c>
      <c r="P785" s="86">
        <f t="shared" si="157"/>
        <v>97944</v>
      </c>
      <c r="Q785" s="86">
        <f t="shared" si="158"/>
        <v>259.2482795129698</v>
      </c>
      <c r="R785" s="97">
        <v>42000</v>
      </c>
      <c r="S785" s="55" t="s">
        <v>843</v>
      </c>
      <c r="T785" s="92" t="s">
        <v>773</v>
      </c>
      <c r="X785" s="190"/>
    </row>
    <row r="786" spans="1:24" s="186" customFormat="1" ht="15">
      <c r="A786" s="10">
        <f t="shared" si="159"/>
        <v>607</v>
      </c>
      <c r="B786" s="13" t="s">
        <v>46</v>
      </c>
      <c r="C786" s="92">
        <v>1959</v>
      </c>
      <c r="D786" s="95"/>
      <c r="E786" s="92" t="s">
        <v>94</v>
      </c>
      <c r="F786" s="95">
        <v>2</v>
      </c>
      <c r="G786" s="95">
        <v>2</v>
      </c>
      <c r="H786" s="97">
        <v>626.4</v>
      </c>
      <c r="I786" s="97">
        <v>532.44</v>
      </c>
      <c r="J786" s="97">
        <v>422.5</v>
      </c>
      <c r="K786" s="96">
        <v>27</v>
      </c>
      <c r="L786" s="86">
        <f>'виды работ  (2)'!C785</f>
        <v>105394</v>
      </c>
      <c r="M786" s="86">
        <v>0</v>
      </c>
      <c r="N786" s="86">
        <v>0</v>
      </c>
      <c r="O786" s="86">
        <v>0</v>
      </c>
      <c r="P786" s="86">
        <f t="shared" si="157"/>
        <v>105394</v>
      </c>
      <c r="Q786" s="86">
        <f t="shared" si="158"/>
        <v>168.2535121328225</v>
      </c>
      <c r="R786" s="97">
        <v>42000</v>
      </c>
      <c r="S786" s="55" t="s">
        <v>843</v>
      </c>
      <c r="T786" s="92" t="s">
        <v>773</v>
      </c>
      <c r="X786" s="190"/>
    </row>
    <row r="787" spans="1:24" s="186" customFormat="1" ht="15">
      <c r="A787" s="10">
        <f t="shared" si="159"/>
        <v>608</v>
      </c>
      <c r="B787" s="13" t="s">
        <v>832</v>
      </c>
      <c r="C787" s="92">
        <v>1960</v>
      </c>
      <c r="D787" s="95"/>
      <c r="E787" s="92" t="s">
        <v>94</v>
      </c>
      <c r="F787" s="95">
        <v>2</v>
      </c>
      <c r="G787" s="95">
        <v>1</v>
      </c>
      <c r="H787" s="97">
        <v>293.4</v>
      </c>
      <c r="I787" s="97">
        <v>270.2</v>
      </c>
      <c r="J787" s="97">
        <v>171.5</v>
      </c>
      <c r="K787" s="96">
        <v>18</v>
      </c>
      <c r="L787" s="86">
        <f>'виды работ  (2)'!C786</f>
        <v>1133251</v>
      </c>
      <c r="M787" s="86">
        <v>0</v>
      </c>
      <c r="N787" s="86">
        <v>0</v>
      </c>
      <c r="O787" s="86">
        <v>0</v>
      </c>
      <c r="P787" s="86">
        <f t="shared" si="157"/>
        <v>1133251</v>
      </c>
      <c r="Q787" s="86">
        <f t="shared" si="158"/>
        <v>3862.477845944104</v>
      </c>
      <c r="R787" s="97">
        <v>42000</v>
      </c>
      <c r="S787" s="55" t="s">
        <v>843</v>
      </c>
      <c r="T787" s="92" t="s">
        <v>773</v>
      </c>
      <c r="X787" s="190"/>
    </row>
    <row r="788" spans="1:24" s="186" customFormat="1" ht="15">
      <c r="A788" s="10">
        <f t="shared" si="159"/>
        <v>609</v>
      </c>
      <c r="B788" s="13" t="s">
        <v>47</v>
      </c>
      <c r="C788" s="92">
        <v>1961</v>
      </c>
      <c r="D788" s="95"/>
      <c r="E788" s="92" t="s">
        <v>94</v>
      </c>
      <c r="F788" s="95">
        <v>2</v>
      </c>
      <c r="G788" s="95">
        <v>3</v>
      </c>
      <c r="H788" s="97">
        <v>632</v>
      </c>
      <c r="I788" s="97">
        <v>537.2</v>
      </c>
      <c r="J788" s="97">
        <v>389.5</v>
      </c>
      <c r="K788" s="96">
        <v>24</v>
      </c>
      <c r="L788" s="86">
        <f>'виды работ  (2)'!C787</f>
        <v>101745</v>
      </c>
      <c r="M788" s="86">
        <v>0</v>
      </c>
      <c r="N788" s="86">
        <v>0</v>
      </c>
      <c r="O788" s="86">
        <v>0</v>
      </c>
      <c r="P788" s="86">
        <f t="shared" si="157"/>
        <v>101745</v>
      </c>
      <c r="Q788" s="86">
        <f t="shared" si="158"/>
        <v>160.9889240506329</v>
      </c>
      <c r="R788" s="97">
        <v>42000</v>
      </c>
      <c r="S788" s="55" t="s">
        <v>843</v>
      </c>
      <c r="T788" s="92" t="s">
        <v>773</v>
      </c>
      <c r="X788" s="190"/>
    </row>
    <row r="789" spans="1:24" s="186" customFormat="1" ht="15">
      <c r="A789" s="10">
        <f t="shared" si="159"/>
        <v>610</v>
      </c>
      <c r="B789" s="13" t="s">
        <v>48</v>
      </c>
      <c r="C789" s="92">
        <v>1958</v>
      </c>
      <c r="D789" s="95"/>
      <c r="E789" s="92" t="s">
        <v>465</v>
      </c>
      <c r="F789" s="95">
        <v>2</v>
      </c>
      <c r="G789" s="95">
        <v>1</v>
      </c>
      <c r="H789" s="97">
        <v>207.3</v>
      </c>
      <c r="I789" s="97">
        <v>176.21</v>
      </c>
      <c r="J789" s="97">
        <v>134.4</v>
      </c>
      <c r="K789" s="96">
        <v>13</v>
      </c>
      <c r="L789" s="86">
        <f>'виды работ  (2)'!C788</f>
        <v>68525</v>
      </c>
      <c r="M789" s="86">
        <v>0</v>
      </c>
      <c r="N789" s="86">
        <v>0</v>
      </c>
      <c r="O789" s="86">
        <v>0</v>
      </c>
      <c r="P789" s="86">
        <f t="shared" si="157"/>
        <v>68525</v>
      </c>
      <c r="Q789" s="86">
        <f t="shared" si="158"/>
        <v>330.5595754944525</v>
      </c>
      <c r="R789" s="97">
        <v>42000</v>
      </c>
      <c r="S789" s="55" t="s">
        <v>843</v>
      </c>
      <c r="T789" s="92" t="s">
        <v>773</v>
      </c>
      <c r="X789" s="190"/>
    </row>
    <row r="790" spans="1:24" s="186" customFormat="1" ht="15">
      <c r="A790" s="10">
        <f t="shared" si="159"/>
        <v>611</v>
      </c>
      <c r="B790" s="13" t="s">
        <v>49</v>
      </c>
      <c r="C790" s="92">
        <v>1961</v>
      </c>
      <c r="D790" s="95"/>
      <c r="E790" s="92" t="s">
        <v>465</v>
      </c>
      <c r="F790" s="95">
        <v>2</v>
      </c>
      <c r="G790" s="95">
        <v>1</v>
      </c>
      <c r="H790" s="97">
        <v>318.4</v>
      </c>
      <c r="I790" s="97">
        <v>270.64</v>
      </c>
      <c r="J790" s="97">
        <v>213.65</v>
      </c>
      <c r="K790" s="96">
        <v>30</v>
      </c>
      <c r="L790" s="86">
        <f>'виды работ  (2)'!C789</f>
        <v>79161</v>
      </c>
      <c r="M790" s="86">
        <v>0</v>
      </c>
      <c r="N790" s="86">
        <v>0</v>
      </c>
      <c r="O790" s="86">
        <v>0</v>
      </c>
      <c r="P790" s="86">
        <f t="shared" si="157"/>
        <v>79161</v>
      </c>
      <c r="Q790" s="86">
        <f t="shared" si="158"/>
        <v>248.6212311557789</v>
      </c>
      <c r="R790" s="97">
        <v>42000</v>
      </c>
      <c r="S790" s="55" t="s">
        <v>843</v>
      </c>
      <c r="T790" s="92" t="s">
        <v>773</v>
      </c>
      <c r="X790" s="190"/>
    </row>
    <row r="791" spans="1:24" s="186" customFormat="1" ht="15">
      <c r="A791" s="10">
        <f t="shared" si="159"/>
        <v>612</v>
      </c>
      <c r="B791" s="13" t="s">
        <v>52</v>
      </c>
      <c r="C791" s="92">
        <v>1964</v>
      </c>
      <c r="D791" s="95"/>
      <c r="E791" s="92" t="s">
        <v>465</v>
      </c>
      <c r="F791" s="95">
        <v>2</v>
      </c>
      <c r="G791" s="95">
        <v>1</v>
      </c>
      <c r="H791" s="97">
        <v>165.86</v>
      </c>
      <c r="I791" s="97">
        <v>140.98</v>
      </c>
      <c r="J791" s="97">
        <v>121.41</v>
      </c>
      <c r="K791" s="96">
        <v>9</v>
      </c>
      <c r="L791" s="86">
        <f>'виды работ  (2)'!C790</f>
        <v>59674</v>
      </c>
      <c r="M791" s="86">
        <v>0</v>
      </c>
      <c r="N791" s="86">
        <v>0</v>
      </c>
      <c r="O791" s="86">
        <v>0</v>
      </c>
      <c r="P791" s="86">
        <f t="shared" si="157"/>
        <v>59674</v>
      </c>
      <c r="Q791" s="86">
        <f t="shared" si="158"/>
        <v>359.78536114795605</v>
      </c>
      <c r="R791" s="97">
        <v>42000</v>
      </c>
      <c r="S791" s="55" t="s">
        <v>843</v>
      </c>
      <c r="T791" s="92" t="s">
        <v>773</v>
      </c>
      <c r="X791" s="190"/>
    </row>
    <row r="792" spans="1:24" s="186" customFormat="1" ht="15">
      <c r="A792" s="10">
        <f t="shared" si="159"/>
        <v>613</v>
      </c>
      <c r="B792" s="13" t="s">
        <v>53</v>
      </c>
      <c r="C792" s="92">
        <v>1954</v>
      </c>
      <c r="D792" s="95"/>
      <c r="E792" s="92" t="s">
        <v>94</v>
      </c>
      <c r="F792" s="95">
        <v>2</v>
      </c>
      <c r="G792" s="95">
        <v>2</v>
      </c>
      <c r="H792" s="97">
        <v>431.96</v>
      </c>
      <c r="I792" s="97">
        <v>367.17</v>
      </c>
      <c r="J792" s="97">
        <v>279.13</v>
      </c>
      <c r="K792" s="96">
        <v>26</v>
      </c>
      <c r="L792" s="86">
        <f>'виды работ  (2)'!C791</f>
        <v>79870</v>
      </c>
      <c r="M792" s="86">
        <v>0</v>
      </c>
      <c r="N792" s="86">
        <v>0</v>
      </c>
      <c r="O792" s="86">
        <v>0</v>
      </c>
      <c r="P792" s="86">
        <f t="shared" si="157"/>
        <v>79870</v>
      </c>
      <c r="Q792" s="86">
        <f t="shared" si="158"/>
        <v>184.90137975738494</v>
      </c>
      <c r="R792" s="97">
        <v>42000</v>
      </c>
      <c r="S792" s="55" t="s">
        <v>843</v>
      </c>
      <c r="T792" s="92" t="s">
        <v>773</v>
      </c>
      <c r="X792" s="190"/>
    </row>
    <row r="793" spans="1:24" s="186" customFormat="1" ht="15">
      <c r="A793" s="10">
        <f t="shared" si="159"/>
        <v>614</v>
      </c>
      <c r="B793" s="13" t="s">
        <v>54</v>
      </c>
      <c r="C793" s="92">
        <v>1963</v>
      </c>
      <c r="D793" s="95"/>
      <c r="E793" s="92" t="s">
        <v>94</v>
      </c>
      <c r="F793" s="95">
        <v>2</v>
      </c>
      <c r="G793" s="95">
        <v>2</v>
      </c>
      <c r="H793" s="97">
        <v>450.7</v>
      </c>
      <c r="I793" s="97">
        <v>383.1</v>
      </c>
      <c r="J793" s="97">
        <v>294.55</v>
      </c>
      <c r="K793" s="96">
        <v>18</v>
      </c>
      <c r="L793" s="86">
        <f>'виды работ  (2)'!C792</f>
        <v>109173</v>
      </c>
      <c r="M793" s="86">
        <v>0</v>
      </c>
      <c r="N793" s="86">
        <v>0</v>
      </c>
      <c r="O793" s="86">
        <v>0</v>
      </c>
      <c r="P793" s="86">
        <f t="shared" si="157"/>
        <v>109173</v>
      </c>
      <c r="Q793" s="86">
        <f t="shared" si="158"/>
        <v>242.22986465498116</v>
      </c>
      <c r="R793" s="97">
        <v>42000</v>
      </c>
      <c r="S793" s="55" t="s">
        <v>843</v>
      </c>
      <c r="T793" s="92" t="s">
        <v>773</v>
      </c>
      <c r="X793" s="190"/>
    </row>
    <row r="794" spans="1:24" s="186" customFormat="1" ht="15">
      <c r="A794" s="10">
        <f t="shared" si="159"/>
        <v>615</v>
      </c>
      <c r="B794" s="13" t="s">
        <v>55</v>
      </c>
      <c r="C794" s="92">
        <v>1956</v>
      </c>
      <c r="D794" s="95"/>
      <c r="E794" s="92" t="s">
        <v>465</v>
      </c>
      <c r="F794" s="95">
        <v>2</v>
      </c>
      <c r="G794" s="95">
        <v>1</v>
      </c>
      <c r="H794" s="97">
        <v>245.7</v>
      </c>
      <c r="I794" s="97">
        <v>208.85</v>
      </c>
      <c r="J794" s="97">
        <v>157.8</v>
      </c>
      <c r="K794" s="96">
        <v>19</v>
      </c>
      <c r="L794" s="86">
        <f>'виды работ  (2)'!C793</f>
        <v>72247</v>
      </c>
      <c r="M794" s="86">
        <v>0</v>
      </c>
      <c r="N794" s="86">
        <v>0</v>
      </c>
      <c r="O794" s="86">
        <v>0</v>
      </c>
      <c r="P794" s="86">
        <f t="shared" si="157"/>
        <v>72247</v>
      </c>
      <c r="Q794" s="86">
        <f t="shared" si="158"/>
        <v>294.04558404558406</v>
      </c>
      <c r="R794" s="97">
        <v>42000</v>
      </c>
      <c r="S794" s="55" t="s">
        <v>843</v>
      </c>
      <c r="T794" s="92" t="s">
        <v>773</v>
      </c>
      <c r="X794" s="190"/>
    </row>
    <row r="795" spans="1:24" s="186" customFormat="1" ht="15">
      <c r="A795" s="10">
        <f t="shared" si="159"/>
        <v>616</v>
      </c>
      <c r="B795" s="13" t="s">
        <v>833</v>
      </c>
      <c r="C795" s="92">
        <v>1961</v>
      </c>
      <c r="D795" s="95"/>
      <c r="E795" s="92" t="s">
        <v>94</v>
      </c>
      <c r="F795" s="95">
        <v>2</v>
      </c>
      <c r="G795" s="95">
        <v>1</v>
      </c>
      <c r="H795" s="97">
        <v>506.4</v>
      </c>
      <c r="I795" s="97">
        <v>467.14</v>
      </c>
      <c r="J795" s="97">
        <v>317.1</v>
      </c>
      <c r="K795" s="96">
        <v>26</v>
      </c>
      <c r="L795" s="86">
        <f>'виды работ  (2)'!C794</f>
        <v>1890024</v>
      </c>
      <c r="M795" s="86">
        <v>0</v>
      </c>
      <c r="N795" s="86">
        <v>0</v>
      </c>
      <c r="O795" s="86">
        <v>0</v>
      </c>
      <c r="P795" s="86">
        <f t="shared" si="157"/>
        <v>1890024</v>
      </c>
      <c r="Q795" s="86">
        <f t="shared" si="158"/>
        <v>3732.274881516588</v>
      </c>
      <c r="R795" s="97">
        <v>42000</v>
      </c>
      <c r="S795" s="55" t="s">
        <v>843</v>
      </c>
      <c r="T795" s="92" t="s">
        <v>773</v>
      </c>
      <c r="X795" s="190"/>
    </row>
    <row r="796" spans="1:24" s="186" customFormat="1" ht="15">
      <c r="A796" s="10">
        <f t="shared" si="159"/>
        <v>617</v>
      </c>
      <c r="B796" s="13" t="s">
        <v>834</v>
      </c>
      <c r="C796" s="92">
        <v>1906</v>
      </c>
      <c r="D796" s="95"/>
      <c r="E796" s="92" t="s">
        <v>94</v>
      </c>
      <c r="F796" s="95">
        <v>2</v>
      </c>
      <c r="G796" s="95">
        <v>1</v>
      </c>
      <c r="H796" s="97">
        <v>294.8</v>
      </c>
      <c r="I796" s="97">
        <v>250.58</v>
      </c>
      <c r="J796" s="97">
        <v>207</v>
      </c>
      <c r="K796" s="96">
        <v>21</v>
      </c>
      <c r="L796" s="86">
        <f>'виды работ  (2)'!C795</f>
        <v>82143</v>
      </c>
      <c r="M796" s="86">
        <v>0</v>
      </c>
      <c r="N796" s="86">
        <v>0</v>
      </c>
      <c r="O796" s="86">
        <v>0</v>
      </c>
      <c r="P796" s="86">
        <f t="shared" si="157"/>
        <v>82143</v>
      </c>
      <c r="Q796" s="86">
        <f t="shared" si="158"/>
        <v>278.6397557666214</v>
      </c>
      <c r="R796" s="97">
        <v>42000</v>
      </c>
      <c r="S796" s="55" t="s">
        <v>843</v>
      </c>
      <c r="T796" s="92" t="s">
        <v>773</v>
      </c>
      <c r="X796" s="190"/>
    </row>
    <row r="797" spans="1:24" s="186" customFormat="1" ht="15">
      <c r="A797" s="10">
        <f t="shared" si="159"/>
        <v>618</v>
      </c>
      <c r="B797" s="13" t="s">
        <v>835</v>
      </c>
      <c r="C797" s="92">
        <v>1916</v>
      </c>
      <c r="D797" s="95"/>
      <c r="E797" s="92" t="s">
        <v>465</v>
      </c>
      <c r="F797" s="95">
        <v>2</v>
      </c>
      <c r="G797" s="95">
        <v>1</v>
      </c>
      <c r="H797" s="97">
        <v>129.6</v>
      </c>
      <c r="I797" s="97">
        <v>110.16</v>
      </c>
      <c r="J797" s="97">
        <v>84.9</v>
      </c>
      <c r="K797" s="96">
        <v>10</v>
      </c>
      <c r="L797" s="86">
        <f>'виды работ  (2)'!C796</f>
        <v>62284</v>
      </c>
      <c r="M797" s="86">
        <v>0</v>
      </c>
      <c r="N797" s="86">
        <v>0</v>
      </c>
      <c r="O797" s="86">
        <v>0</v>
      </c>
      <c r="P797" s="86">
        <f t="shared" si="157"/>
        <v>62284</v>
      </c>
      <c r="Q797" s="86">
        <f t="shared" si="158"/>
        <v>480.58641975308643</v>
      </c>
      <c r="R797" s="97">
        <v>42000</v>
      </c>
      <c r="S797" s="55" t="s">
        <v>843</v>
      </c>
      <c r="T797" s="92" t="s">
        <v>773</v>
      </c>
      <c r="X797" s="190"/>
    </row>
    <row r="798" spans="1:24" s="186" customFormat="1" ht="15">
      <c r="A798" s="10">
        <f t="shared" si="159"/>
        <v>619</v>
      </c>
      <c r="B798" s="13" t="s">
        <v>56</v>
      </c>
      <c r="C798" s="92">
        <v>1968</v>
      </c>
      <c r="D798" s="95"/>
      <c r="E798" s="92" t="s">
        <v>700</v>
      </c>
      <c r="F798" s="95">
        <v>2</v>
      </c>
      <c r="G798" s="95">
        <v>2</v>
      </c>
      <c r="H798" s="97">
        <v>441.62</v>
      </c>
      <c r="I798" s="97">
        <v>375.38</v>
      </c>
      <c r="J798" s="97">
        <v>290.7</v>
      </c>
      <c r="K798" s="96">
        <v>37</v>
      </c>
      <c r="L798" s="86">
        <f>'виды работ  (2)'!C797</f>
        <v>109548</v>
      </c>
      <c r="M798" s="86">
        <v>0</v>
      </c>
      <c r="N798" s="86">
        <v>0</v>
      </c>
      <c r="O798" s="86">
        <v>0</v>
      </c>
      <c r="P798" s="86">
        <f t="shared" si="157"/>
        <v>109548</v>
      </c>
      <c r="Q798" s="86">
        <f t="shared" si="158"/>
        <v>248.05941759884064</v>
      </c>
      <c r="R798" s="97">
        <v>42000</v>
      </c>
      <c r="S798" s="55" t="s">
        <v>843</v>
      </c>
      <c r="T798" s="92" t="s">
        <v>773</v>
      </c>
      <c r="X798" s="190"/>
    </row>
    <row r="799" spans="1:24" s="186" customFormat="1" ht="15">
      <c r="A799" s="10">
        <f t="shared" si="159"/>
        <v>620</v>
      </c>
      <c r="B799" s="13" t="s">
        <v>57</v>
      </c>
      <c r="C799" s="92">
        <v>1917</v>
      </c>
      <c r="D799" s="95"/>
      <c r="E799" s="92" t="s">
        <v>94</v>
      </c>
      <c r="F799" s="95">
        <v>2</v>
      </c>
      <c r="G799" s="95">
        <v>1</v>
      </c>
      <c r="H799" s="97">
        <v>232.4</v>
      </c>
      <c r="I799" s="97">
        <v>197.54</v>
      </c>
      <c r="J799" s="97">
        <v>151.5</v>
      </c>
      <c r="K799" s="96">
        <v>19</v>
      </c>
      <c r="L799" s="86">
        <f>'виды работ  (2)'!C798</f>
        <v>78208</v>
      </c>
      <c r="M799" s="86">
        <v>0</v>
      </c>
      <c r="N799" s="86">
        <v>0</v>
      </c>
      <c r="O799" s="86">
        <v>0</v>
      </c>
      <c r="P799" s="86">
        <f aca="true" t="shared" si="160" ref="P799:P804">L799</f>
        <v>78208</v>
      </c>
      <c r="Q799" s="86">
        <f aca="true" t="shared" si="161" ref="Q799:Q804">L799/H799</f>
        <v>336.52323580034425</v>
      </c>
      <c r="R799" s="97">
        <v>42000</v>
      </c>
      <c r="S799" s="55" t="s">
        <v>843</v>
      </c>
      <c r="T799" s="92" t="s">
        <v>773</v>
      </c>
      <c r="X799" s="190"/>
    </row>
    <row r="800" spans="1:24" s="186" customFormat="1" ht="15">
      <c r="A800" s="10">
        <f>A799+1</f>
        <v>621</v>
      </c>
      <c r="B800" s="13" t="s">
        <v>838</v>
      </c>
      <c r="C800" s="92">
        <v>1968</v>
      </c>
      <c r="D800" s="95"/>
      <c r="E800" s="92" t="s">
        <v>94</v>
      </c>
      <c r="F800" s="95">
        <v>2</v>
      </c>
      <c r="G800" s="95">
        <v>2</v>
      </c>
      <c r="H800" s="97">
        <v>393.7</v>
      </c>
      <c r="I800" s="97">
        <v>697.7</v>
      </c>
      <c r="J800" s="97">
        <v>640.6</v>
      </c>
      <c r="K800" s="96">
        <v>21</v>
      </c>
      <c r="L800" s="86">
        <f>'виды работ  (2)'!C799</f>
        <v>1656442</v>
      </c>
      <c r="M800" s="86">
        <v>0</v>
      </c>
      <c r="N800" s="86">
        <v>0</v>
      </c>
      <c r="O800" s="86">
        <v>0</v>
      </c>
      <c r="P800" s="86">
        <f>L800</f>
        <v>1656442</v>
      </c>
      <c r="Q800" s="86">
        <f>L800/H800</f>
        <v>4207.37109474219</v>
      </c>
      <c r="R800" s="97">
        <v>42000</v>
      </c>
      <c r="S800" s="55" t="s">
        <v>843</v>
      </c>
      <c r="T800" s="92" t="s">
        <v>773</v>
      </c>
      <c r="X800" s="190"/>
    </row>
    <row r="801" spans="1:24" s="186" customFormat="1" ht="15">
      <c r="A801" s="10">
        <f>A800+1</f>
        <v>622</v>
      </c>
      <c r="B801" s="13" t="s">
        <v>836</v>
      </c>
      <c r="C801" s="92">
        <v>1955</v>
      </c>
      <c r="D801" s="95"/>
      <c r="E801" s="92" t="s">
        <v>700</v>
      </c>
      <c r="F801" s="95">
        <v>2</v>
      </c>
      <c r="G801" s="95">
        <v>2</v>
      </c>
      <c r="H801" s="97">
        <v>816.5</v>
      </c>
      <c r="I801" s="97">
        <v>816.5</v>
      </c>
      <c r="J801" s="97">
        <v>585</v>
      </c>
      <c r="K801" s="96">
        <v>47</v>
      </c>
      <c r="L801" s="86">
        <f>'виды работ  (2)'!C800</f>
        <v>4542560</v>
      </c>
      <c r="M801" s="86">
        <v>0</v>
      </c>
      <c r="N801" s="86">
        <v>0</v>
      </c>
      <c r="O801" s="86">
        <v>0</v>
      </c>
      <c r="P801" s="86">
        <f t="shared" si="160"/>
        <v>4542560</v>
      </c>
      <c r="Q801" s="86">
        <f t="shared" si="161"/>
        <v>5563.453766074709</v>
      </c>
      <c r="R801" s="97">
        <v>42000</v>
      </c>
      <c r="S801" s="55" t="s">
        <v>843</v>
      </c>
      <c r="T801" s="92" t="s">
        <v>773</v>
      </c>
      <c r="X801" s="190"/>
    </row>
    <row r="802" spans="1:24" s="186" customFormat="1" ht="15">
      <c r="A802" s="10">
        <f>A801+1</f>
        <v>623</v>
      </c>
      <c r="B802" s="13" t="s">
        <v>837</v>
      </c>
      <c r="C802" s="92">
        <v>1974</v>
      </c>
      <c r="D802" s="95"/>
      <c r="E802" s="95" t="s">
        <v>442</v>
      </c>
      <c r="F802" s="95">
        <v>3</v>
      </c>
      <c r="G802" s="95">
        <v>4</v>
      </c>
      <c r="H802" s="97">
        <v>1234.8</v>
      </c>
      <c r="I802" s="97">
        <v>1234.8</v>
      </c>
      <c r="J802" s="97">
        <v>950.4</v>
      </c>
      <c r="K802" s="96">
        <v>68</v>
      </c>
      <c r="L802" s="86">
        <f>'виды работ  (2)'!C801</f>
        <v>1747317</v>
      </c>
      <c r="M802" s="86">
        <v>0</v>
      </c>
      <c r="N802" s="86">
        <v>0</v>
      </c>
      <c r="O802" s="86">
        <v>0</v>
      </c>
      <c r="P802" s="86">
        <f t="shared" si="160"/>
        <v>1747317</v>
      </c>
      <c r="Q802" s="86">
        <f t="shared" si="161"/>
        <v>1415.0607385811468</v>
      </c>
      <c r="R802" s="97">
        <v>42000</v>
      </c>
      <c r="S802" s="55" t="s">
        <v>843</v>
      </c>
      <c r="T802" s="92" t="s">
        <v>773</v>
      </c>
      <c r="X802" s="190"/>
    </row>
    <row r="803" spans="1:24" s="186" customFormat="1" ht="15">
      <c r="A803" s="10">
        <f>A802+1</f>
        <v>624</v>
      </c>
      <c r="B803" s="13" t="s">
        <v>58</v>
      </c>
      <c r="C803" s="92">
        <v>1961</v>
      </c>
      <c r="D803" s="95"/>
      <c r="E803" s="92" t="s">
        <v>94</v>
      </c>
      <c r="F803" s="95">
        <v>4</v>
      </c>
      <c r="G803" s="95">
        <v>2</v>
      </c>
      <c r="H803" s="97">
        <v>1176.44</v>
      </c>
      <c r="I803" s="97">
        <v>999.97</v>
      </c>
      <c r="J803" s="97">
        <v>755.22</v>
      </c>
      <c r="K803" s="96">
        <v>71</v>
      </c>
      <c r="L803" s="86">
        <f>'виды работ  (2)'!C802</f>
        <v>126030</v>
      </c>
      <c r="M803" s="86">
        <v>0</v>
      </c>
      <c r="N803" s="86">
        <v>0</v>
      </c>
      <c r="O803" s="86">
        <v>0</v>
      </c>
      <c r="P803" s="86">
        <f t="shared" si="160"/>
        <v>126030</v>
      </c>
      <c r="Q803" s="86">
        <f t="shared" si="161"/>
        <v>107.12828533541871</v>
      </c>
      <c r="R803" s="97">
        <v>42000</v>
      </c>
      <c r="S803" s="55" t="s">
        <v>843</v>
      </c>
      <c r="T803" s="92" t="s">
        <v>773</v>
      </c>
      <c r="X803" s="190"/>
    </row>
    <row r="804" spans="1:24" s="186" customFormat="1" ht="15">
      <c r="A804" s="10">
        <f>A803+1</f>
        <v>625</v>
      </c>
      <c r="B804" s="13" t="s">
        <v>59</v>
      </c>
      <c r="C804" s="92">
        <v>1963</v>
      </c>
      <c r="D804" s="95"/>
      <c r="E804" s="92" t="s">
        <v>94</v>
      </c>
      <c r="F804" s="95">
        <v>4</v>
      </c>
      <c r="G804" s="95">
        <v>2</v>
      </c>
      <c r="H804" s="97">
        <v>1237.76</v>
      </c>
      <c r="I804" s="97">
        <v>1052.1</v>
      </c>
      <c r="J804" s="97">
        <v>808.02</v>
      </c>
      <c r="K804" s="96">
        <v>65</v>
      </c>
      <c r="L804" s="86">
        <f>'виды работ  (2)'!C803</f>
        <v>124930</v>
      </c>
      <c r="M804" s="86">
        <v>0</v>
      </c>
      <c r="N804" s="86">
        <v>0</v>
      </c>
      <c r="O804" s="86">
        <v>0</v>
      </c>
      <c r="P804" s="86">
        <f t="shared" si="160"/>
        <v>124930</v>
      </c>
      <c r="Q804" s="86">
        <f t="shared" si="161"/>
        <v>100.93232936918304</v>
      </c>
      <c r="R804" s="97">
        <v>42000</v>
      </c>
      <c r="S804" s="55" t="s">
        <v>843</v>
      </c>
      <c r="T804" s="92" t="s">
        <v>773</v>
      </c>
      <c r="X804" s="190"/>
    </row>
    <row r="805" spans="1:24" s="186" customFormat="1" ht="15">
      <c r="A805" s="117" t="s">
        <v>597</v>
      </c>
      <c r="B805" s="117"/>
      <c r="C805" s="86" t="s">
        <v>430</v>
      </c>
      <c r="D805" s="86" t="s">
        <v>430</v>
      </c>
      <c r="E805" s="86" t="s">
        <v>430</v>
      </c>
      <c r="F805" s="86" t="s">
        <v>430</v>
      </c>
      <c r="G805" s="86" t="s">
        <v>430</v>
      </c>
      <c r="H805" s="97">
        <f aca="true" t="shared" si="162" ref="H805:P805">SUM(H733:H804)</f>
        <v>136866.74999999997</v>
      </c>
      <c r="I805" s="97">
        <f t="shared" si="162"/>
        <v>109995.70000000001</v>
      </c>
      <c r="J805" s="97">
        <f t="shared" si="162"/>
        <v>87918.25000000007</v>
      </c>
      <c r="K805" s="96">
        <f t="shared" si="162"/>
        <v>5435</v>
      </c>
      <c r="L805" s="97">
        <f t="shared" si="162"/>
        <v>68999386</v>
      </c>
      <c r="M805" s="97">
        <f t="shared" si="162"/>
        <v>0</v>
      </c>
      <c r="N805" s="97">
        <f t="shared" si="162"/>
        <v>0</v>
      </c>
      <c r="O805" s="97">
        <f t="shared" si="162"/>
        <v>0</v>
      </c>
      <c r="P805" s="97">
        <f t="shared" si="162"/>
        <v>68999386</v>
      </c>
      <c r="Q805" s="97">
        <f>L805/H805</f>
        <v>504.135489445026</v>
      </c>
      <c r="R805" s="56" t="s">
        <v>430</v>
      </c>
      <c r="S805" s="56" t="s">
        <v>430</v>
      </c>
      <c r="T805" s="56" t="s">
        <v>430</v>
      </c>
      <c r="U805" s="190"/>
      <c r="X805" s="190"/>
    </row>
    <row r="806" spans="1:24" s="186" customFormat="1" ht="15">
      <c r="A806" s="105" t="s">
        <v>667</v>
      </c>
      <c r="B806" s="110"/>
      <c r="C806" s="110"/>
      <c r="D806" s="110"/>
      <c r="E806" s="106"/>
      <c r="F806" s="178"/>
      <c r="G806" s="178"/>
      <c r="H806" s="178"/>
      <c r="I806" s="178"/>
      <c r="J806" s="178"/>
      <c r="K806" s="178"/>
      <c r="L806" s="178"/>
      <c r="M806" s="178"/>
      <c r="N806" s="178"/>
      <c r="O806" s="178"/>
      <c r="P806" s="178"/>
      <c r="Q806" s="178"/>
      <c r="R806" s="178"/>
      <c r="S806" s="178"/>
      <c r="T806" s="178"/>
      <c r="X806" s="190"/>
    </row>
    <row r="807" spans="1:24" s="186" customFormat="1" ht="15">
      <c r="A807" s="96">
        <f>A804+1</f>
        <v>626</v>
      </c>
      <c r="B807" s="53" t="s">
        <v>6</v>
      </c>
      <c r="C807" s="92">
        <v>1982</v>
      </c>
      <c r="D807" s="95"/>
      <c r="E807" s="95" t="s">
        <v>442</v>
      </c>
      <c r="F807" s="95">
        <v>2</v>
      </c>
      <c r="G807" s="95">
        <v>3</v>
      </c>
      <c r="H807" s="97">
        <v>814.4</v>
      </c>
      <c r="I807" s="97">
        <v>814.4</v>
      </c>
      <c r="J807" s="97">
        <v>428.7</v>
      </c>
      <c r="K807" s="96">
        <v>35</v>
      </c>
      <c r="L807" s="97">
        <f>'виды работ  (2)'!C806</f>
        <v>2069299</v>
      </c>
      <c r="M807" s="97">
        <v>0</v>
      </c>
      <c r="N807" s="97">
        <v>0</v>
      </c>
      <c r="O807" s="97">
        <v>0</v>
      </c>
      <c r="P807" s="97">
        <f>L807</f>
        <v>2069299</v>
      </c>
      <c r="Q807" s="97">
        <f>L807/H807</f>
        <v>2540.8877701375245</v>
      </c>
      <c r="R807" s="97">
        <v>42000</v>
      </c>
      <c r="S807" s="55" t="s">
        <v>843</v>
      </c>
      <c r="T807" s="92" t="s">
        <v>773</v>
      </c>
      <c r="X807" s="190"/>
    </row>
    <row r="808" spans="1:24" s="186" customFormat="1" ht="15">
      <c r="A808" s="96">
        <f>A807+1</f>
        <v>627</v>
      </c>
      <c r="B808" s="53" t="s">
        <v>7</v>
      </c>
      <c r="C808" s="92">
        <v>1968</v>
      </c>
      <c r="D808" s="95"/>
      <c r="E808" s="92" t="s">
        <v>94</v>
      </c>
      <c r="F808" s="95">
        <v>2</v>
      </c>
      <c r="G808" s="95">
        <v>2</v>
      </c>
      <c r="H808" s="97">
        <v>524.3</v>
      </c>
      <c r="I808" s="97">
        <v>524.3</v>
      </c>
      <c r="J808" s="97">
        <v>493.45</v>
      </c>
      <c r="K808" s="96">
        <v>25</v>
      </c>
      <c r="L808" s="97">
        <f>'виды работ  (2)'!C807</f>
        <v>4323696</v>
      </c>
      <c r="M808" s="97">
        <v>0</v>
      </c>
      <c r="N808" s="97">
        <v>0</v>
      </c>
      <c r="O808" s="97">
        <v>0</v>
      </c>
      <c r="P808" s="97">
        <f aca="true" t="shared" si="163" ref="P808:P819">L808</f>
        <v>4323696</v>
      </c>
      <c r="Q808" s="97">
        <f aca="true" t="shared" si="164" ref="Q808:Q821">L808/H808</f>
        <v>8246.606904444021</v>
      </c>
      <c r="R808" s="97">
        <v>42000</v>
      </c>
      <c r="S808" s="55" t="s">
        <v>843</v>
      </c>
      <c r="T808" s="92" t="s">
        <v>773</v>
      </c>
      <c r="X808" s="190"/>
    </row>
    <row r="809" spans="1:24" s="186" customFormat="1" ht="15">
      <c r="A809" s="96">
        <f aca="true" t="shared" si="165" ref="A809:A819">A808+1</f>
        <v>628</v>
      </c>
      <c r="B809" s="53" t="s">
        <v>8</v>
      </c>
      <c r="C809" s="92">
        <v>1969</v>
      </c>
      <c r="D809" s="95"/>
      <c r="E809" s="92" t="s">
        <v>94</v>
      </c>
      <c r="F809" s="95">
        <v>2</v>
      </c>
      <c r="G809" s="95">
        <v>2</v>
      </c>
      <c r="H809" s="97">
        <v>506.3</v>
      </c>
      <c r="I809" s="97">
        <v>506.3</v>
      </c>
      <c r="J809" s="97">
        <v>410.1</v>
      </c>
      <c r="K809" s="96">
        <v>29</v>
      </c>
      <c r="L809" s="97">
        <f>'виды работ  (2)'!C808</f>
        <v>4323696</v>
      </c>
      <c r="M809" s="97">
        <v>0</v>
      </c>
      <c r="N809" s="97">
        <v>0</v>
      </c>
      <c r="O809" s="97">
        <v>0</v>
      </c>
      <c r="P809" s="97">
        <f t="shared" si="163"/>
        <v>4323696</v>
      </c>
      <c r="Q809" s="97">
        <f t="shared" si="164"/>
        <v>8539.790637961683</v>
      </c>
      <c r="R809" s="97">
        <v>42000</v>
      </c>
      <c r="S809" s="55" t="s">
        <v>843</v>
      </c>
      <c r="T809" s="92" t="s">
        <v>773</v>
      </c>
      <c r="X809" s="190"/>
    </row>
    <row r="810" spans="1:24" s="186" customFormat="1" ht="15">
      <c r="A810" s="96">
        <f t="shared" si="165"/>
        <v>629</v>
      </c>
      <c r="B810" s="13" t="s">
        <v>839</v>
      </c>
      <c r="C810" s="92">
        <v>1963</v>
      </c>
      <c r="D810" s="95"/>
      <c r="E810" s="92" t="s">
        <v>465</v>
      </c>
      <c r="F810" s="95">
        <v>2</v>
      </c>
      <c r="G810" s="95">
        <v>3</v>
      </c>
      <c r="H810" s="97">
        <v>169.5</v>
      </c>
      <c r="I810" s="97">
        <v>169.5</v>
      </c>
      <c r="J810" s="97">
        <v>84.6</v>
      </c>
      <c r="K810" s="96">
        <v>12</v>
      </c>
      <c r="L810" s="97">
        <f>'виды работ  (2)'!C809</f>
        <v>257745</v>
      </c>
      <c r="M810" s="97">
        <v>0</v>
      </c>
      <c r="N810" s="97">
        <v>0</v>
      </c>
      <c r="O810" s="97">
        <v>0</v>
      </c>
      <c r="P810" s="97">
        <f t="shared" si="163"/>
        <v>257745</v>
      </c>
      <c r="Q810" s="97">
        <f t="shared" si="164"/>
        <v>1520.6194690265486</v>
      </c>
      <c r="R810" s="97">
        <v>42000</v>
      </c>
      <c r="S810" s="55" t="s">
        <v>843</v>
      </c>
      <c r="T810" s="92" t="s">
        <v>773</v>
      </c>
      <c r="X810" s="190"/>
    </row>
    <row r="811" spans="1:24" s="186" customFormat="1" ht="15">
      <c r="A811" s="96">
        <f t="shared" si="165"/>
        <v>630</v>
      </c>
      <c r="B811" s="48" t="s">
        <v>9</v>
      </c>
      <c r="C811" s="92">
        <v>1963</v>
      </c>
      <c r="D811" s="95"/>
      <c r="E811" s="92" t="s">
        <v>465</v>
      </c>
      <c r="F811" s="95">
        <v>2</v>
      </c>
      <c r="G811" s="95">
        <v>1</v>
      </c>
      <c r="H811" s="97">
        <v>327.97</v>
      </c>
      <c r="I811" s="97">
        <v>327.97</v>
      </c>
      <c r="J811" s="97">
        <v>76.82</v>
      </c>
      <c r="K811" s="96">
        <v>12</v>
      </c>
      <c r="L811" s="97">
        <f>'виды работ  (2)'!C810</f>
        <v>1084927</v>
      </c>
      <c r="M811" s="97">
        <v>0</v>
      </c>
      <c r="N811" s="97">
        <v>0</v>
      </c>
      <c r="O811" s="97">
        <v>0</v>
      </c>
      <c r="P811" s="97">
        <f t="shared" si="163"/>
        <v>1084927</v>
      </c>
      <c r="Q811" s="97">
        <f t="shared" si="164"/>
        <v>3308.0068298929777</v>
      </c>
      <c r="R811" s="97">
        <v>42000</v>
      </c>
      <c r="S811" s="55" t="s">
        <v>843</v>
      </c>
      <c r="T811" s="92" t="s">
        <v>773</v>
      </c>
      <c r="X811" s="190"/>
    </row>
    <row r="812" spans="1:24" s="186" customFormat="1" ht="15">
      <c r="A812" s="96">
        <f t="shared" si="165"/>
        <v>631</v>
      </c>
      <c r="B812" s="53" t="s">
        <v>10</v>
      </c>
      <c r="C812" s="92">
        <v>1973</v>
      </c>
      <c r="D812" s="95"/>
      <c r="E812" s="92" t="s">
        <v>94</v>
      </c>
      <c r="F812" s="95">
        <v>2</v>
      </c>
      <c r="G812" s="95">
        <v>2</v>
      </c>
      <c r="H812" s="97">
        <v>724.1</v>
      </c>
      <c r="I812" s="97">
        <v>724.1</v>
      </c>
      <c r="J812" s="97">
        <v>531.8</v>
      </c>
      <c r="K812" s="96">
        <v>32</v>
      </c>
      <c r="L812" s="97">
        <f>'виды работ  (2)'!C811</f>
        <v>4323696</v>
      </c>
      <c r="M812" s="97">
        <v>0</v>
      </c>
      <c r="N812" s="97">
        <v>0</v>
      </c>
      <c r="O812" s="97">
        <v>0</v>
      </c>
      <c r="P812" s="97">
        <f t="shared" si="163"/>
        <v>4323696</v>
      </c>
      <c r="Q812" s="97">
        <f t="shared" si="164"/>
        <v>5971.13105924596</v>
      </c>
      <c r="R812" s="97">
        <v>42000</v>
      </c>
      <c r="S812" s="55" t="s">
        <v>843</v>
      </c>
      <c r="T812" s="92" t="s">
        <v>773</v>
      </c>
      <c r="X812" s="190"/>
    </row>
    <row r="813" spans="1:24" s="186" customFormat="1" ht="15">
      <c r="A813" s="96">
        <f t="shared" si="165"/>
        <v>632</v>
      </c>
      <c r="B813" s="48" t="s">
        <v>11</v>
      </c>
      <c r="C813" s="92">
        <v>1962</v>
      </c>
      <c r="D813" s="95"/>
      <c r="E813" s="92" t="s">
        <v>94</v>
      </c>
      <c r="F813" s="95">
        <v>2</v>
      </c>
      <c r="G813" s="95">
        <v>1</v>
      </c>
      <c r="H813" s="97">
        <v>308.15</v>
      </c>
      <c r="I813" s="97">
        <v>308.15</v>
      </c>
      <c r="J813" s="97">
        <v>120.42</v>
      </c>
      <c r="K813" s="96">
        <v>24</v>
      </c>
      <c r="L813" s="97">
        <f>'виды работ  (2)'!C812</f>
        <v>2315212</v>
      </c>
      <c r="M813" s="97">
        <v>0</v>
      </c>
      <c r="N813" s="97">
        <v>0</v>
      </c>
      <c r="O813" s="97">
        <v>0</v>
      </c>
      <c r="P813" s="97">
        <f t="shared" si="163"/>
        <v>2315212</v>
      </c>
      <c r="Q813" s="97">
        <f t="shared" si="164"/>
        <v>7513.263021255882</v>
      </c>
      <c r="R813" s="97">
        <v>42000</v>
      </c>
      <c r="S813" s="55" t="s">
        <v>843</v>
      </c>
      <c r="T813" s="92" t="s">
        <v>773</v>
      </c>
      <c r="X813" s="190"/>
    </row>
    <row r="814" spans="1:24" s="43" customFormat="1" ht="15">
      <c r="A814" s="96">
        <f t="shared" si="165"/>
        <v>633</v>
      </c>
      <c r="B814" s="59" t="s">
        <v>12</v>
      </c>
      <c r="C814" s="39">
        <v>1935</v>
      </c>
      <c r="D814" s="97"/>
      <c r="E814" s="92" t="s">
        <v>465</v>
      </c>
      <c r="F814" s="96">
        <v>2</v>
      </c>
      <c r="G814" s="96">
        <v>2</v>
      </c>
      <c r="H814" s="97">
        <v>230.7</v>
      </c>
      <c r="I814" s="97">
        <v>230.7</v>
      </c>
      <c r="J814" s="97">
        <v>91.2</v>
      </c>
      <c r="K814" s="96">
        <v>16</v>
      </c>
      <c r="L814" s="97">
        <f>'виды работ  (2)'!C813</f>
        <v>626462</v>
      </c>
      <c r="M814" s="86">
        <v>0</v>
      </c>
      <c r="N814" s="86">
        <v>0</v>
      </c>
      <c r="O814" s="86">
        <v>0</v>
      </c>
      <c r="P814" s="97">
        <f t="shared" si="163"/>
        <v>626462</v>
      </c>
      <c r="Q814" s="86">
        <f t="shared" si="164"/>
        <v>2715.483311660165</v>
      </c>
      <c r="R814" s="97">
        <v>42000</v>
      </c>
      <c r="S814" s="55" t="s">
        <v>843</v>
      </c>
      <c r="T814" s="92" t="s">
        <v>773</v>
      </c>
      <c r="X814" s="190"/>
    </row>
    <row r="815" spans="1:24" s="186" customFormat="1" ht="15">
      <c r="A815" s="96">
        <f t="shared" si="165"/>
        <v>634</v>
      </c>
      <c r="B815" s="48" t="s">
        <v>13</v>
      </c>
      <c r="C815" s="92">
        <v>1939</v>
      </c>
      <c r="D815" s="95"/>
      <c r="E815" s="92" t="s">
        <v>465</v>
      </c>
      <c r="F815" s="95">
        <v>2</v>
      </c>
      <c r="G815" s="95">
        <v>1</v>
      </c>
      <c r="H815" s="97">
        <v>114.31</v>
      </c>
      <c r="I815" s="97">
        <v>114.31</v>
      </c>
      <c r="J815" s="97">
        <v>57.17</v>
      </c>
      <c r="K815" s="96">
        <v>6</v>
      </c>
      <c r="L815" s="97">
        <f>'виды работ  (2)'!C814</f>
        <v>33023</v>
      </c>
      <c r="M815" s="97">
        <v>0</v>
      </c>
      <c r="N815" s="97">
        <v>0</v>
      </c>
      <c r="O815" s="97">
        <v>0</v>
      </c>
      <c r="P815" s="97">
        <f t="shared" si="163"/>
        <v>33023</v>
      </c>
      <c r="Q815" s="97">
        <f t="shared" si="164"/>
        <v>288.8898609045578</v>
      </c>
      <c r="R815" s="97">
        <v>42000</v>
      </c>
      <c r="S815" s="55" t="s">
        <v>843</v>
      </c>
      <c r="T815" s="92" t="s">
        <v>773</v>
      </c>
      <c r="X815" s="190"/>
    </row>
    <row r="816" spans="1:24" s="186" customFormat="1" ht="15">
      <c r="A816" s="96">
        <f t="shared" si="165"/>
        <v>635</v>
      </c>
      <c r="B816" s="48" t="s">
        <v>14</v>
      </c>
      <c r="C816" s="92">
        <v>1948</v>
      </c>
      <c r="D816" s="95"/>
      <c r="E816" s="92" t="s">
        <v>465</v>
      </c>
      <c r="F816" s="95">
        <v>2</v>
      </c>
      <c r="G816" s="95">
        <v>2</v>
      </c>
      <c r="H816" s="97">
        <v>254.7</v>
      </c>
      <c r="I816" s="97">
        <v>254.7</v>
      </c>
      <c r="J816" s="97">
        <v>162.68</v>
      </c>
      <c r="K816" s="96">
        <v>16</v>
      </c>
      <c r="L816" s="97">
        <f>'виды работ  (2)'!C815</f>
        <v>129154</v>
      </c>
      <c r="M816" s="97">
        <v>0</v>
      </c>
      <c r="N816" s="97">
        <v>0</v>
      </c>
      <c r="O816" s="97">
        <v>0</v>
      </c>
      <c r="P816" s="97">
        <f t="shared" si="163"/>
        <v>129154</v>
      </c>
      <c r="Q816" s="97">
        <f t="shared" si="164"/>
        <v>507.0828425598744</v>
      </c>
      <c r="R816" s="97">
        <v>42000</v>
      </c>
      <c r="S816" s="55" t="s">
        <v>843</v>
      </c>
      <c r="T816" s="92" t="s">
        <v>773</v>
      </c>
      <c r="X816" s="190"/>
    </row>
    <row r="817" spans="1:24" s="186" customFormat="1" ht="15">
      <c r="A817" s="96">
        <f t="shared" si="165"/>
        <v>636</v>
      </c>
      <c r="B817" s="48" t="s">
        <v>15</v>
      </c>
      <c r="C817" s="92">
        <v>1940</v>
      </c>
      <c r="D817" s="95"/>
      <c r="E817" s="92" t="s">
        <v>465</v>
      </c>
      <c r="F817" s="95">
        <v>2</v>
      </c>
      <c r="G817" s="95">
        <v>1</v>
      </c>
      <c r="H817" s="97">
        <v>250.9</v>
      </c>
      <c r="I817" s="97">
        <v>250.9</v>
      </c>
      <c r="J817" s="97">
        <v>124.3</v>
      </c>
      <c r="K817" s="96">
        <v>8</v>
      </c>
      <c r="L817" s="97">
        <f>'виды работ  (2)'!C816</f>
        <v>71907</v>
      </c>
      <c r="M817" s="97">
        <v>0</v>
      </c>
      <c r="N817" s="97">
        <v>0</v>
      </c>
      <c r="O817" s="97">
        <v>0</v>
      </c>
      <c r="P817" s="97">
        <f t="shared" si="163"/>
        <v>71907</v>
      </c>
      <c r="Q817" s="97">
        <f t="shared" si="164"/>
        <v>286.5962534874452</v>
      </c>
      <c r="R817" s="97">
        <v>42000</v>
      </c>
      <c r="S817" s="55" t="s">
        <v>843</v>
      </c>
      <c r="T817" s="92" t="s">
        <v>773</v>
      </c>
      <c r="X817" s="190"/>
    </row>
    <row r="818" spans="1:24" s="186" customFormat="1" ht="15">
      <c r="A818" s="96">
        <f t="shared" si="165"/>
        <v>637</v>
      </c>
      <c r="B818" s="48" t="s">
        <v>16</v>
      </c>
      <c r="C818" s="92">
        <v>1940</v>
      </c>
      <c r="D818" s="95"/>
      <c r="E818" s="92" t="s">
        <v>465</v>
      </c>
      <c r="F818" s="95">
        <v>2</v>
      </c>
      <c r="G818" s="95">
        <v>1</v>
      </c>
      <c r="H818" s="97">
        <v>256</v>
      </c>
      <c r="I818" s="97">
        <v>256</v>
      </c>
      <c r="J818" s="97">
        <v>71.1</v>
      </c>
      <c r="K818" s="96">
        <v>11</v>
      </c>
      <c r="L818" s="97">
        <f>'виды работ  (2)'!C817</f>
        <v>52074</v>
      </c>
      <c r="M818" s="97">
        <v>0</v>
      </c>
      <c r="N818" s="97">
        <v>0</v>
      </c>
      <c r="O818" s="97">
        <v>0</v>
      </c>
      <c r="P818" s="97">
        <f t="shared" si="163"/>
        <v>52074</v>
      </c>
      <c r="Q818" s="97">
        <f t="shared" si="164"/>
        <v>203.4140625</v>
      </c>
      <c r="R818" s="97">
        <v>42000</v>
      </c>
      <c r="S818" s="55" t="s">
        <v>843</v>
      </c>
      <c r="T818" s="92" t="s">
        <v>773</v>
      </c>
      <c r="X818" s="190"/>
    </row>
    <row r="819" spans="1:24" s="186" customFormat="1" ht="15">
      <c r="A819" s="96">
        <f t="shared" si="165"/>
        <v>638</v>
      </c>
      <c r="B819" s="53" t="s">
        <v>17</v>
      </c>
      <c r="C819" s="92">
        <v>1980</v>
      </c>
      <c r="D819" s="95"/>
      <c r="E819" s="92" t="s">
        <v>465</v>
      </c>
      <c r="F819" s="95">
        <v>2</v>
      </c>
      <c r="G819" s="95">
        <v>2</v>
      </c>
      <c r="H819" s="97">
        <v>213.4</v>
      </c>
      <c r="I819" s="97">
        <v>213.4</v>
      </c>
      <c r="J819" s="97">
        <v>37</v>
      </c>
      <c r="K819" s="96">
        <v>12</v>
      </c>
      <c r="L819" s="97">
        <f>'виды работ  (2)'!C818</f>
        <v>69249</v>
      </c>
      <c r="M819" s="97">
        <v>0</v>
      </c>
      <c r="N819" s="97">
        <v>0</v>
      </c>
      <c r="O819" s="97">
        <v>0</v>
      </c>
      <c r="P819" s="97">
        <f t="shared" si="163"/>
        <v>69249</v>
      </c>
      <c r="Q819" s="97">
        <f t="shared" si="164"/>
        <v>324.5032802249297</v>
      </c>
      <c r="R819" s="97">
        <v>42000</v>
      </c>
      <c r="S819" s="55" t="s">
        <v>843</v>
      </c>
      <c r="T819" s="92" t="s">
        <v>773</v>
      </c>
      <c r="X819" s="190"/>
    </row>
    <row r="820" spans="1:24" s="186" customFormat="1" ht="15">
      <c r="A820" s="117" t="s">
        <v>597</v>
      </c>
      <c r="B820" s="117"/>
      <c r="C820" s="86" t="s">
        <v>430</v>
      </c>
      <c r="D820" s="86" t="s">
        <v>430</v>
      </c>
      <c r="E820" s="86" t="s">
        <v>430</v>
      </c>
      <c r="F820" s="86" t="s">
        <v>430</v>
      </c>
      <c r="G820" s="86" t="s">
        <v>430</v>
      </c>
      <c r="H820" s="97">
        <f aca="true" t="shared" si="166" ref="H820:P820">SUM(H807:H819)</f>
        <v>4694.729999999999</v>
      </c>
      <c r="I820" s="97">
        <f t="shared" si="166"/>
        <v>4694.729999999999</v>
      </c>
      <c r="J820" s="97">
        <f t="shared" si="166"/>
        <v>2689.3399999999997</v>
      </c>
      <c r="K820" s="96">
        <f t="shared" si="166"/>
        <v>238</v>
      </c>
      <c r="L820" s="97">
        <f t="shared" si="166"/>
        <v>19680140</v>
      </c>
      <c r="M820" s="97">
        <f t="shared" si="166"/>
        <v>0</v>
      </c>
      <c r="N820" s="97">
        <f t="shared" si="166"/>
        <v>0</v>
      </c>
      <c r="O820" s="97">
        <f t="shared" si="166"/>
        <v>0</v>
      </c>
      <c r="P820" s="97">
        <f t="shared" si="166"/>
        <v>19680140</v>
      </c>
      <c r="Q820" s="97">
        <f t="shared" si="164"/>
        <v>4191.964181113718</v>
      </c>
      <c r="R820" s="56" t="s">
        <v>430</v>
      </c>
      <c r="S820" s="56" t="s">
        <v>430</v>
      </c>
      <c r="T820" s="56" t="s">
        <v>430</v>
      </c>
      <c r="U820" s="190"/>
      <c r="X820" s="190"/>
    </row>
    <row r="821" spans="1:24" s="186" customFormat="1" ht="15">
      <c r="A821" s="140" t="s">
        <v>668</v>
      </c>
      <c r="B821" s="140"/>
      <c r="C821" s="140"/>
      <c r="D821" s="81" t="s">
        <v>430</v>
      </c>
      <c r="E821" s="81" t="s">
        <v>430</v>
      </c>
      <c r="F821" s="81" t="s">
        <v>430</v>
      </c>
      <c r="G821" s="81" t="s">
        <v>430</v>
      </c>
      <c r="H821" s="97">
        <f aca="true" t="shared" si="167" ref="H821:P821">H820+H805</f>
        <v>141561.47999999998</v>
      </c>
      <c r="I821" s="97">
        <f t="shared" si="167"/>
        <v>114690.43000000001</v>
      </c>
      <c r="J821" s="97">
        <f t="shared" si="167"/>
        <v>90607.59000000007</v>
      </c>
      <c r="K821" s="96">
        <f t="shared" si="167"/>
        <v>5673</v>
      </c>
      <c r="L821" s="97">
        <f t="shared" si="167"/>
        <v>88679526</v>
      </c>
      <c r="M821" s="97">
        <f t="shared" si="167"/>
        <v>0</v>
      </c>
      <c r="N821" s="97">
        <f t="shared" si="167"/>
        <v>0</v>
      </c>
      <c r="O821" s="97">
        <f t="shared" si="167"/>
        <v>0</v>
      </c>
      <c r="P821" s="97">
        <f t="shared" si="167"/>
        <v>88679526</v>
      </c>
      <c r="Q821" s="97">
        <f t="shared" si="164"/>
        <v>626.4382514226329</v>
      </c>
      <c r="R821" s="56" t="s">
        <v>430</v>
      </c>
      <c r="S821" s="56" t="s">
        <v>430</v>
      </c>
      <c r="T821" s="56" t="s">
        <v>430</v>
      </c>
      <c r="U821" s="190"/>
      <c r="X821" s="190"/>
    </row>
    <row r="822" spans="1:24" s="186" customFormat="1" ht="15">
      <c r="A822" s="223" t="s">
        <v>18</v>
      </c>
      <c r="B822" s="224"/>
      <c r="C822" s="224"/>
      <c r="D822" s="224"/>
      <c r="E822" s="224"/>
      <c r="F822" s="224"/>
      <c r="G822" s="224"/>
      <c r="H822" s="224"/>
      <c r="I822" s="224"/>
      <c r="J822" s="224"/>
      <c r="K822" s="224"/>
      <c r="L822" s="224"/>
      <c r="M822" s="224"/>
      <c r="N822" s="224"/>
      <c r="O822" s="224"/>
      <c r="P822" s="224"/>
      <c r="Q822" s="224"/>
      <c r="R822" s="224"/>
      <c r="S822" s="224"/>
      <c r="T822" s="225"/>
      <c r="X822" s="190"/>
    </row>
    <row r="823" spans="1:24" s="43" customFormat="1" ht="18.75" customHeight="1">
      <c r="A823" s="120" t="s">
        <v>768</v>
      </c>
      <c r="B823" s="121"/>
      <c r="C823" s="121"/>
      <c r="D823" s="121"/>
      <c r="E823" s="122"/>
      <c r="F823" s="127"/>
      <c r="G823" s="127"/>
      <c r="H823" s="127"/>
      <c r="I823" s="127"/>
      <c r="J823" s="127"/>
      <c r="K823" s="127"/>
      <c r="L823" s="127"/>
      <c r="M823" s="127"/>
      <c r="N823" s="127"/>
      <c r="O823" s="127"/>
      <c r="P823" s="127"/>
      <c r="Q823" s="127"/>
      <c r="R823" s="127"/>
      <c r="S823" s="127"/>
      <c r="T823" s="127"/>
      <c r="U823" s="45"/>
      <c r="V823" s="45"/>
      <c r="X823" s="190"/>
    </row>
    <row r="824" spans="1:24" s="43" customFormat="1" ht="18.75" customHeight="1">
      <c r="A824" s="10">
        <f>A819+1</f>
        <v>639</v>
      </c>
      <c r="B824" s="59" t="s">
        <v>769</v>
      </c>
      <c r="C824" s="92">
        <v>1959</v>
      </c>
      <c r="D824" s="92"/>
      <c r="E824" s="92" t="s">
        <v>465</v>
      </c>
      <c r="F824" s="92">
        <v>2</v>
      </c>
      <c r="G824" s="92">
        <v>2</v>
      </c>
      <c r="H824" s="92">
        <v>471.15</v>
      </c>
      <c r="I824" s="92">
        <v>423.4</v>
      </c>
      <c r="J824" s="92">
        <v>285.1</v>
      </c>
      <c r="K824" s="92">
        <v>20</v>
      </c>
      <c r="L824" s="86">
        <f>'виды работ  (2)'!C823</f>
        <v>8620603</v>
      </c>
      <c r="M824" s="86">
        <v>0</v>
      </c>
      <c r="N824" s="86">
        <v>0</v>
      </c>
      <c r="O824" s="86">
        <v>0</v>
      </c>
      <c r="P824" s="97">
        <f>L824</f>
        <v>8620603</v>
      </c>
      <c r="Q824" s="86">
        <f>L824/H824</f>
        <v>18296.93940358697</v>
      </c>
      <c r="R824" s="97">
        <v>42000</v>
      </c>
      <c r="S824" s="55" t="s">
        <v>843</v>
      </c>
      <c r="T824" s="92" t="s">
        <v>773</v>
      </c>
      <c r="U824" s="45"/>
      <c r="V824" s="45"/>
      <c r="X824" s="190"/>
    </row>
    <row r="825" spans="1:24" s="43" customFormat="1" ht="18.75" customHeight="1">
      <c r="A825" s="117" t="s">
        <v>597</v>
      </c>
      <c r="B825" s="117"/>
      <c r="C825" s="86" t="s">
        <v>430</v>
      </c>
      <c r="D825" s="86" t="s">
        <v>430</v>
      </c>
      <c r="E825" s="86" t="s">
        <v>430</v>
      </c>
      <c r="F825" s="86" t="s">
        <v>430</v>
      </c>
      <c r="G825" s="86" t="s">
        <v>430</v>
      </c>
      <c r="H825" s="86">
        <f aca="true" t="shared" si="168" ref="H825:P825">SUM(H824:H824)</f>
        <v>471.15</v>
      </c>
      <c r="I825" s="86">
        <f t="shared" si="168"/>
        <v>423.4</v>
      </c>
      <c r="J825" s="86">
        <f t="shared" si="168"/>
        <v>285.1</v>
      </c>
      <c r="K825" s="10">
        <f t="shared" si="168"/>
        <v>20</v>
      </c>
      <c r="L825" s="86">
        <f t="shared" si="168"/>
        <v>8620603</v>
      </c>
      <c r="M825" s="86">
        <f t="shared" si="168"/>
        <v>0</v>
      </c>
      <c r="N825" s="86">
        <f t="shared" si="168"/>
        <v>0</v>
      </c>
      <c r="O825" s="86">
        <f t="shared" si="168"/>
        <v>0</v>
      </c>
      <c r="P825" s="86">
        <f t="shared" si="168"/>
        <v>8620603</v>
      </c>
      <c r="Q825" s="86">
        <f>L825/H825</f>
        <v>18296.93940358697</v>
      </c>
      <c r="R825" s="56" t="s">
        <v>430</v>
      </c>
      <c r="S825" s="56" t="s">
        <v>430</v>
      </c>
      <c r="T825" s="56" t="s">
        <v>430</v>
      </c>
      <c r="U825" s="190"/>
      <c r="V825" s="46"/>
      <c r="X825" s="190"/>
    </row>
    <row r="826" spans="1:24" s="186" customFormat="1" ht="18.75" customHeight="1">
      <c r="A826" s="105" t="s">
        <v>652</v>
      </c>
      <c r="B826" s="110"/>
      <c r="C826" s="110"/>
      <c r="D826" s="110"/>
      <c r="E826" s="106"/>
      <c r="F826" s="178"/>
      <c r="G826" s="178"/>
      <c r="H826" s="178"/>
      <c r="I826" s="178"/>
      <c r="J826" s="178"/>
      <c r="K826" s="178"/>
      <c r="L826" s="178"/>
      <c r="M826" s="178"/>
      <c r="N826" s="178"/>
      <c r="O826" s="178"/>
      <c r="P826" s="178"/>
      <c r="Q826" s="178"/>
      <c r="R826" s="178"/>
      <c r="S826" s="178"/>
      <c r="T826" s="178"/>
      <c r="X826" s="190"/>
    </row>
    <row r="827" spans="1:24" s="186" customFormat="1" ht="15">
      <c r="A827" s="96">
        <f>A824+1</f>
        <v>640</v>
      </c>
      <c r="B827" s="240" t="s">
        <v>563</v>
      </c>
      <c r="C827" s="92">
        <v>1958</v>
      </c>
      <c r="D827" s="95"/>
      <c r="E827" s="92" t="s">
        <v>94</v>
      </c>
      <c r="F827" s="95">
        <v>5</v>
      </c>
      <c r="G827" s="95">
        <v>2</v>
      </c>
      <c r="H827" s="97">
        <v>1724.57</v>
      </c>
      <c r="I827" s="97">
        <v>1724.57</v>
      </c>
      <c r="J827" s="97">
        <v>1555.67</v>
      </c>
      <c r="K827" s="96">
        <v>93</v>
      </c>
      <c r="L827" s="97">
        <f>'виды работ  (2)'!C826</f>
        <v>703923</v>
      </c>
      <c r="M827" s="97">
        <v>0</v>
      </c>
      <c r="N827" s="97">
        <v>0</v>
      </c>
      <c r="O827" s="97">
        <v>0</v>
      </c>
      <c r="P827" s="97">
        <f aca="true" t="shared" si="169" ref="P827:P832">L827</f>
        <v>703923</v>
      </c>
      <c r="Q827" s="97">
        <f>L827/H827</f>
        <v>408.1730518332106</v>
      </c>
      <c r="R827" s="97">
        <v>42000</v>
      </c>
      <c r="S827" s="55" t="s">
        <v>843</v>
      </c>
      <c r="T827" s="92" t="s">
        <v>773</v>
      </c>
      <c r="X827" s="190"/>
    </row>
    <row r="828" spans="1:24" s="186" customFormat="1" ht="15">
      <c r="A828" s="96">
        <f>A827+1</f>
        <v>641</v>
      </c>
      <c r="B828" s="240" t="s">
        <v>564</v>
      </c>
      <c r="C828" s="92">
        <v>1980</v>
      </c>
      <c r="D828" s="95"/>
      <c r="E828" s="92" t="s">
        <v>94</v>
      </c>
      <c r="F828" s="95">
        <v>5</v>
      </c>
      <c r="G828" s="95">
        <v>2</v>
      </c>
      <c r="H828" s="97">
        <v>3016.54</v>
      </c>
      <c r="I828" s="97">
        <v>3016.54</v>
      </c>
      <c r="J828" s="97">
        <v>2846.54</v>
      </c>
      <c r="K828" s="96">
        <v>148</v>
      </c>
      <c r="L828" s="97">
        <f>'виды работ  (2)'!C827</f>
        <v>177269</v>
      </c>
      <c r="M828" s="97">
        <v>0</v>
      </c>
      <c r="N828" s="97">
        <v>0</v>
      </c>
      <c r="O828" s="97">
        <v>0</v>
      </c>
      <c r="P828" s="97">
        <f t="shared" si="169"/>
        <v>177269</v>
      </c>
      <c r="Q828" s="97">
        <f aca="true" t="shared" si="170" ref="Q828:Q833">L828/H828</f>
        <v>58.76567192876607</v>
      </c>
      <c r="R828" s="97">
        <v>42000</v>
      </c>
      <c r="S828" s="55" t="s">
        <v>843</v>
      </c>
      <c r="T828" s="92" t="s">
        <v>773</v>
      </c>
      <c r="X828" s="190"/>
    </row>
    <row r="829" spans="1:24" s="186" customFormat="1" ht="15">
      <c r="A829" s="96">
        <f>A828+1</f>
        <v>642</v>
      </c>
      <c r="B829" s="240" t="s">
        <v>565</v>
      </c>
      <c r="C829" s="92">
        <v>1971</v>
      </c>
      <c r="D829" s="95"/>
      <c r="E829" s="92" t="s">
        <v>94</v>
      </c>
      <c r="F829" s="95">
        <v>5</v>
      </c>
      <c r="G829" s="95">
        <v>2</v>
      </c>
      <c r="H829" s="97">
        <v>4828.44</v>
      </c>
      <c r="I829" s="97">
        <v>4828.44</v>
      </c>
      <c r="J829" s="97">
        <v>3806.34</v>
      </c>
      <c r="K829" s="96">
        <v>270</v>
      </c>
      <c r="L829" s="97">
        <f>'виды работ  (2)'!C828</f>
        <v>229859</v>
      </c>
      <c r="M829" s="97">
        <v>0</v>
      </c>
      <c r="N829" s="97">
        <v>0</v>
      </c>
      <c r="O829" s="97">
        <v>0</v>
      </c>
      <c r="P829" s="97">
        <f t="shared" si="169"/>
        <v>229859</v>
      </c>
      <c r="Q829" s="97">
        <f t="shared" si="170"/>
        <v>47.605230674917784</v>
      </c>
      <c r="R829" s="97">
        <v>42000</v>
      </c>
      <c r="S829" s="55" t="s">
        <v>843</v>
      </c>
      <c r="T829" s="92" t="s">
        <v>773</v>
      </c>
      <c r="X829" s="190"/>
    </row>
    <row r="830" spans="1:24" s="186" customFormat="1" ht="15">
      <c r="A830" s="96">
        <f>A829+1</f>
        <v>643</v>
      </c>
      <c r="B830" s="241" t="s">
        <v>568</v>
      </c>
      <c r="C830" s="92">
        <v>1978</v>
      </c>
      <c r="D830" s="95"/>
      <c r="E830" s="95" t="s">
        <v>442</v>
      </c>
      <c r="F830" s="95">
        <v>5</v>
      </c>
      <c r="G830" s="95">
        <v>4</v>
      </c>
      <c r="H830" s="97">
        <v>3313.97</v>
      </c>
      <c r="I830" s="97">
        <v>3313.97</v>
      </c>
      <c r="J830" s="97">
        <v>3038.67</v>
      </c>
      <c r="K830" s="96">
        <v>153</v>
      </c>
      <c r="L830" s="97">
        <f>'виды работ  (2)'!C829</f>
        <v>647970</v>
      </c>
      <c r="M830" s="97">
        <v>0</v>
      </c>
      <c r="N830" s="97">
        <v>0</v>
      </c>
      <c r="O830" s="97">
        <v>0</v>
      </c>
      <c r="P830" s="97">
        <f t="shared" si="169"/>
        <v>647970</v>
      </c>
      <c r="Q830" s="97">
        <f t="shared" si="170"/>
        <v>195.52681526990287</v>
      </c>
      <c r="R830" s="97">
        <v>42000</v>
      </c>
      <c r="S830" s="55" t="s">
        <v>843</v>
      </c>
      <c r="T830" s="92" t="s">
        <v>773</v>
      </c>
      <c r="X830" s="190"/>
    </row>
    <row r="831" spans="1:24" s="186" customFormat="1" ht="15">
      <c r="A831" s="96">
        <f>A830+1</f>
        <v>644</v>
      </c>
      <c r="B831" s="241" t="s">
        <v>566</v>
      </c>
      <c r="C831" s="92">
        <v>1983</v>
      </c>
      <c r="D831" s="95"/>
      <c r="E831" s="92" t="s">
        <v>94</v>
      </c>
      <c r="F831" s="95">
        <v>9</v>
      </c>
      <c r="G831" s="95">
        <v>2</v>
      </c>
      <c r="H831" s="97">
        <v>6918.98</v>
      </c>
      <c r="I831" s="97">
        <v>6918.98</v>
      </c>
      <c r="J831" s="97">
        <v>5657.78</v>
      </c>
      <c r="K831" s="96">
        <v>350</v>
      </c>
      <c r="L831" s="97">
        <f>'виды работ  (2)'!C830</f>
        <v>224197</v>
      </c>
      <c r="M831" s="97">
        <v>0</v>
      </c>
      <c r="N831" s="97">
        <v>0</v>
      </c>
      <c r="O831" s="97">
        <v>0</v>
      </c>
      <c r="P831" s="97">
        <f t="shared" si="169"/>
        <v>224197</v>
      </c>
      <c r="Q831" s="97">
        <f t="shared" si="170"/>
        <v>32.40318659686832</v>
      </c>
      <c r="R831" s="97">
        <v>42000</v>
      </c>
      <c r="S831" s="55" t="s">
        <v>843</v>
      </c>
      <c r="T831" s="92" t="s">
        <v>773</v>
      </c>
      <c r="X831" s="190"/>
    </row>
    <row r="832" spans="1:24" s="186" customFormat="1" ht="15">
      <c r="A832" s="96">
        <f>A831+1</f>
        <v>645</v>
      </c>
      <c r="B832" s="241" t="s">
        <v>567</v>
      </c>
      <c r="C832" s="92">
        <v>1969</v>
      </c>
      <c r="D832" s="95"/>
      <c r="E832" s="92" t="s">
        <v>94</v>
      </c>
      <c r="F832" s="95">
        <v>5</v>
      </c>
      <c r="G832" s="95">
        <v>4</v>
      </c>
      <c r="H832" s="97">
        <v>3777.08</v>
      </c>
      <c r="I832" s="97">
        <v>3777.08</v>
      </c>
      <c r="J832" s="97">
        <v>3473.68</v>
      </c>
      <c r="K832" s="96">
        <v>160</v>
      </c>
      <c r="L832" s="97">
        <f>'виды работ  (2)'!C831</f>
        <v>144702</v>
      </c>
      <c r="M832" s="97">
        <v>0</v>
      </c>
      <c r="N832" s="97">
        <v>0</v>
      </c>
      <c r="O832" s="97">
        <v>0</v>
      </c>
      <c r="P832" s="97">
        <f t="shared" si="169"/>
        <v>144702</v>
      </c>
      <c r="Q832" s="97">
        <f t="shared" si="170"/>
        <v>38.310546771580164</v>
      </c>
      <c r="R832" s="97">
        <v>42000</v>
      </c>
      <c r="S832" s="55" t="s">
        <v>843</v>
      </c>
      <c r="T832" s="92" t="s">
        <v>773</v>
      </c>
      <c r="X832" s="190"/>
    </row>
    <row r="833" spans="1:24" s="186" customFormat="1" ht="15">
      <c r="A833" s="117" t="s">
        <v>597</v>
      </c>
      <c r="B833" s="117"/>
      <c r="C833" s="86" t="s">
        <v>430</v>
      </c>
      <c r="D833" s="86" t="s">
        <v>430</v>
      </c>
      <c r="E833" s="86" t="s">
        <v>430</v>
      </c>
      <c r="F833" s="86" t="s">
        <v>430</v>
      </c>
      <c r="G833" s="86" t="s">
        <v>430</v>
      </c>
      <c r="H833" s="97">
        <f aca="true" t="shared" si="171" ref="H833:P833">SUM(H827:H832)</f>
        <v>23579.58</v>
      </c>
      <c r="I833" s="97">
        <f t="shared" si="171"/>
        <v>23579.58</v>
      </c>
      <c r="J833" s="97">
        <f t="shared" si="171"/>
        <v>20378.68</v>
      </c>
      <c r="K833" s="96">
        <f t="shared" si="171"/>
        <v>1174</v>
      </c>
      <c r="L833" s="97">
        <f t="shared" si="171"/>
        <v>2127920</v>
      </c>
      <c r="M833" s="97">
        <f t="shared" si="171"/>
        <v>0</v>
      </c>
      <c r="N833" s="97">
        <f t="shared" si="171"/>
        <v>0</v>
      </c>
      <c r="O833" s="97">
        <f t="shared" si="171"/>
        <v>0</v>
      </c>
      <c r="P833" s="97">
        <f t="shared" si="171"/>
        <v>2127920</v>
      </c>
      <c r="Q833" s="97">
        <f t="shared" si="170"/>
        <v>90.24418585912046</v>
      </c>
      <c r="R833" s="56" t="s">
        <v>430</v>
      </c>
      <c r="S833" s="56" t="s">
        <v>430</v>
      </c>
      <c r="T833" s="56" t="s">
        <v>430</v>
      </c>
      <c r="U833" s="190"/>
      <c r="X833" s="190"/>
    </row>
    <row r="834" spans="1:24" s="186" customFormat="1" ht="15" customHeight="1">
      <c r="A834" s="105" t="s">
        <v>698</v>
      </c>
      <c r="B834" s="110"/>
      <c r="C834" s="110"/>
      <c r="D834" s="110"/>
      <c r="E834" s="106"/>
      <c r="F834" s="178"/>
      <c r="G834" s="178"/>
      <c r="H834" s="178"/>
      <c r="I834" s="178"/>
      <c r="J834" s="178"/>
      <c r="K834" s="178"/>
      <c r="L834" s="178"/>
      <c r="M834" s="178"/>
      <c r="N834" s="178"/>
      <c r="O834" s="178"/>
      <c r="P834" s="178"/>
      <c r="Q834" s="178"/>
      <c r="R834" s="178"/>
      <c r="S834" s="178"/>
      <c r="T834" s="178"/>
      <c r="X834" s="190"/>
    </row>
    <row r="835" spans="1:24" s="186" customFormat="1" ht="15" customHeight="1">
      <c r="A835" s="96">
        <f>A832+1</f>
        <v>646</v>
      </c>
      <c r="B835" s="242" t="s">
        <v>569</v>
      </c>
      <c r="C835" s="92">
        <v>1956</v>
      </c>
      <c r="D835" s="95"/>
      <c r="E835" s="92" t="s">
        <v>700</v>
      </c>
      <c r="F835" s="95">
        <v>2</v>
      </c>
      <c r="G835" s="95">
        <v>2</v>
      </c>
      <c r="H835" s="97">
        <v>786.2</v>
      </c>
      <c r="I835" s="97">
        <v>720.8</v>
      </c>
      <c r="J835" s="97">
        <v>577.2</v>
      </c>
      <c r="K835" s="96">
        <v>27</v>
      </c>
      <c r="L835" s="97">
        <f>'виды работ  (2)'!C834</f>
        <v>121037</v>
      </c>
      <c r="M835" s="97">
        <v>0</v>
      </c>
      <c r="N835" s="97">
        <v>0</v>
      </c>
      <c r="O835" s="97">
        <v>0</v>
      </c>
      <c r="P835" s="97">
        <f>L835</f>
        <v>121037</v>
      </c>
      <c r="Q835" s="97">
        <f>L835/H835</f>
        <v>153.9519206308827</v>
      </c>
      <c r="R835" s="97">
        <v>42000</v>
      </c>
      <c r="S835" s="55" t="s">
        <v>843</v>
      </c>
      <c r="T835" s="92" t="s">
        <v>773</v>
      </c>
      <c r="X835" s="190"/>
    </row>
    <row r="836" spans="1:24" s="186" customFormat="1" ht="21.75" customHeight="1">
      <c r="A836" s="117" t="s">
        <v>597</v>
      </c>
      <c r="B836" s="117"/>
      <c r="C836" s="86" t="s">
        <v>430</v>
      </c>
      <c r="D836" s="86" t="s">
        <v>430</v>
      </c>
      <c r="E836" s="86" t="s">
        <v>430</v>
      </c>
      <c r="F836" s="86" t="s">
        <v>430</v>
      </c>
      <c r="G836" s="86" t="s">
        <v>430</v>
      </c>
      <c r="H836" s="97">
        <f>SUM(H835)</f>
        <v>786.2</v>
      </c>
      <c r="I836" s="97">
        <f aca="true" t="shared" si="172" ref="I836:P836">SUM(I835)</f>
        <v>720.8</v>
      </c>
      <c r="J836" s="97">
        <f t="shared" si="172"/>
        <v>577.2</v>
      </c>
      <c r="K836" s="96">
        <f t="shared" si="172"/>
        <v>27</v>
      </c>
      <c r="L836" s="97">
        <f t="shared" si="172"/>
        <v>121037</v>
      </c>
      <c r="M836" s="97">
        <f t="shared" si="172"/>
        <v>0</v>
      </c>
      <c r="N836" s="97">
        <f t="shared" si="172"/>
        <v>0</v>
      </c>
      <c r="O836" s="97">
        <f t="shared" si="172"/>
        <v>0</v>
      </c>
      <c r="P836" s="97">
        <f t="shared" si="172"/>
        <v>121037</v>
      </c>
      <c r="Q836" s="97">
        <f>L836/H836</f>
        <v>153.9519206308827</v>
      </c>
      <c r="R836" s="56" t="s">
        <v>430</v>
      </c>
      <c r="S836" s="56" t="s">
        <v>430</v>
      </c>
      <c r="T836" s="56" t="s">
        <v>430</v>
      </c>
      <c r="U836" s="190"/>
      <c r="X836" s="190"/>
    </row>
    <row r="837" spans="1:24" s="186" customFormat="1" ht="21.75" customHeight="1">
      <c r="A837" s="185" t="s">
        <v>669</v>
      </c>
      <c r="B837" s="185"/>
      <c r="C837" s="185"/>
      <c r="D837" s="185"/>
      <c r="E837" s="185"/>
      <c r="F837" s="178"/>
      <c r="G837" s="178"/>
      <c r="H837" s="178"/>
      <c r="I837" s="178"/>
      <c r="J837" s="178"/>
      <c r="K837" s="178"/>
      <c r="L837" s="178"/>
      <c r="M837" s="178"/>
      <c r="N837" s="178"/>
      <c r="O837" s="178"/>
      <c r="P837" s="178"/>
      <c r="Q837" s="178"/>
      <c r="R837" s="178"/>
      <c r="S837" s="178"/>
      <c r="T837" s="178"/>
      <c r="X837" s="190"/>
    </row>
    <row r="838" spans="1:24" s="186" customFormat="1" ht="21.75" customHeight="1">
      <c r="A838" s="10">
        <f>A835+1</f>
        <v>647</v>
      </c>
      <c r="B838" s="188" t="s">
        <v>553</v>
      </c>
      <c r="C838" s="92">
        <v>1968</v>
      </c>
      <c r="D838" s="92"/>
      <c r="E838" s="92" t="s">
        <v>465</v>
      </c>
      <c r="F838" s="92">
        <v>2</v>
      </c>
      <c r="G838" s="92">
        <v>1</v>
      </c>
      <c r="H838" s="86">
        <v>308.4</v>
      </c>
      <c r="I838" s="86">
        <v>280.4</v>
      </c>
      <c r="J838" s="86">
        <v>0</v>
      </c>
      <c r="K838" s="10">
        <v>13</v>
      </c>
      <c r="L838" s="97">
        <f>'виды работ  (2)'!C837</f>
        <v>1000000</v>
      </c>
      <c r="M838" s="97">
        <v>0</v>
      </c>
      <c r="N838" s="97">
        <v>0</v>
      </c>
      <c r="O838" s="97">
        <v>0</v>
      </c>
      <c r="P838" s="97">
        <f>L838</f>
        <v>1000000</v>
      </c>
      <c r="Q838" s="97">
        <f>L838/H838</f>
        <v>3242.54215304799</v>
      </c>
      <c r="R838" s="97">
        <v>42000</v>
      </c>
      <c r="S838" s="55" t="s">
        <v>843</v>
      </c>
      <c r="T838" s="92" t="s">
        <v>773</v>
      </c>
      <c r="X838" s="190"/>
    </row>
    <row r="839" spans="1:24" s="186" customFormat="1" ht="21.75" customHeight="1">
      <c r="A839" s="10">
        <f aca="true" t="shared" si="173" ref="A839:A852">A838+1</f>
        <v>648</v>
      </c>
      <c r="B839" s="188" t="s">
        <v>552</v>
      </c>
      <c r="C839" s="92">
        <v>1982</v>
      </c>
      <c r="D839" s="92"/>
      <c r="E839" s="92" t="s">
        <v>94</v>
      </c>
      <c r="F839" s="92">
        <v>8</v>
      </c>
      <c r="G839" s="92">
        <v>1</v>
      </c>
      <c r="H839" s="86">
        <v>1811.7</v>
      </c>
      <c r="I839" s="86">
        <v>1553.7</v>
      </c>
      <c r="J839" s="86">
        <v>1415.9</v>
      </c>
      <c r="K839" s="10">
        <v>76</v>
      </c>
      <c r="L839" s="97">
        <f>'виды работ  (2)'!C838</f>
        <v>1500000</v>
      </c>
      <c r="M839" s="97">
        <v>0</v>
      </c>
      <c r="N839" s="97">
        <v>0</v>
      </c>
      <c r="O839" s="97">
        <v>0</v>
      </c>
      <c r="P839" s="97">
        <f aca="true" t="shared" si="174" ref="P839:P852">L839</f>
        <v>1500000</v>
      </c>
      <c r="Q839" s="97">
        <f aca="true" t="shared" si="175" ref="Q839:Q853">L839/H839</f>
        <v>827.9516476237787</v>
      </c>
      <c r="R839" s="97">
        <v>42000</v>
      </c>
      <c r="S839" s="55" t="s">
        <v>843</v>
      </c>
      <c r="T839" s="92" t="s">
        <v>773</v>
      </c>
      <c r="X839" s="190"/>
    </row>
    <row r="840" spans="1:24" s="186" customFormat="1" ht="21.75" customHeight="1">
      <c r="A840" s="10">
        <f t="shared" si="173"/>
        <v>649</v>
      </c>
      <c r="B840" s="188" t="s">
        <v>551</v>
      </c>
      <c r="C840" s="92">
        <v>1990</v>
      </c>
      <c r="D840" s="92"/>
      <c r="E840" s="92" t="s">
        <v>700</v>
      </c>
      <c r="F840" s="92">
        <v>9</v>
      </c>
      <c r="G840" s="92">
        <v>5</v>
      </c>
      <c r="H840" s="86">
        <v>12617.19</v>
      </c>
      <c r="I840" s="86">
        <v>10892.59</v>
      </c>
      <c r="J840" s="86">
        <v>9984.01</v>
      </c>
      <c r="K840" s="10">
        <v>544</v>
      </c>
      <c r="L840" s="97">
        <f>'виды работ  (2)'!C839</f>
        <v>15114678</v>
      </c>
      <c r="M840" s="97">
        <v>0</v>
      </c>
      <c r="N840" s="97">
        <v>0</v>
      </c>
      <c r="O840" s="97">
        <v>0</v>
      </c>
      <c r="P840" s="97">
        <f t="shared" si="174"/>
        <v>15114678</v>
      </c>
      <c r="Q840" s="97">
        <f t="shared" si="175"/>
        <v>1197.943282141269</v>
      </c>
      <c r="R840" s="97">
        <v>42000</v>
      </c>
      <c r="S840" s="55" t="s">
        <v>843</v>
      </c>
      <c r="T840" s="92" t="s">
        <v>773</v>
      </c>
      <c r="X840" s="190"/>
    </row>
    <row r="841" spans="1:24" s="186" customFormat="1" ht="21.75" customHeight="1">
      <c r="A841" s="10">
        <f t="shared" si="173"/>
        <v>650</v>
      </c>
      <c r="B841" s="188" t="s">
        <v>554</v>
      </c>
      <c r="C841" s="92">
        <v>1980</v>
      </c>
      <c r="D841" s="92"/>
      <c r="E841" s="95" t="s">
        <v>442</v>
      </c>
      <c r="F841" s="92">
        <v>2</v>
      </c>
      <c r="G841" s="92">
        <v>1</v>
      </c>
      <c r="H841" s="86">
        <v>405.7</v>
      </c>
      <c r="I841" s="86">
        <v>370.4</v>
      </c>
      <c r="J841" s="86">
        <v>213.4</v>
      </c>
      <c r="K841" s="10">
        <v>31</v>
      </c>
      <c r="L841" s="97">
        <f>'виды работ  (2)'!C840</f>
        <v>1050000</v>
      </c>
      <c r="M841" s="97">
        <v>0</v>
      </c>
      <c r="N841" s="97">
        <v>0</v>
      </c>
      <c r="O841" s="97">
        <v>0</v>
      </c>
      <c r="P841" s="97">
        <f t="shared" si="174"/>
        <v>1050000</v>
      </c>
      <c r="Q841" s="97">
        <f t="shared" si="175"/>
        <v>2588.119299975351</v>
      </c>
      <c r="R841" s="97">
        <v>42000</v>
      </c>
      <c r="S841" s="55" t="s">
        <v>843</v>
      </c>
      <c r="T841" s="92" t="s">
        <v>773</v>
      </c>
      <c r="X841" s="190"/>
    </row>
    <row r="842" spans="1:24" s="186" customFormat="1" ht="21.75" customHeight="1">
      <c r="A842" s="10">
        <f t="shared" si="173"/>
        <v>651</v>
      </c>
      <c r="B842" s="188" t="s">
        <v>556</v>
      </c>
      <c r="C842" s="92">
        <v>1956</v>
      </c>
      <c r="D842" s="92"/>
      <c r="E842" s="92" t="s">
        <v>94</v>
      </c>
      <c r="F842" s="92">
        <v>2</v>
      </c>
      <c r="G842" s="92">
        <v>2</v>
      </c>
      <c r="H842" s="86">
        <v>733.09</v>
      </c>
      <c r="I842" s="86">
        <v>670.69</v>
      </c>
      <c r="J842" s="86">
        <v>628.21</v>
      </c>
      <c r="K842" s="10">
        <v>34</v>
      </c>
      <c r="L842" s="97">
        <f>'виды работ  (2)'!C841</f>
        <v>650000</v>
      </c>
      <c r="M842" s="97">
        <v>0</v>
      </c>
      <c r="N842" s="97">
        <v>0</v>
      </c>
      <c r="O842" s="97">
        <v>0</v>
      </c>
      <c r="P842" s="97">
        <f t="shared" si="174"/>
        <v>650000</v>
      </c>
      <c r="Q842" s="97">
        <f t="shared" si="175"/>
        <v>886.6578455578442</v>
      </c>
      <c r="R842" s="97">
        <v>42000</v>
      </c>
      <c r="S842" s="55" t="s">
        <v>843</v>
      </c>
      <c r="T842" s="92" t="s">
        <v>773</v>
      </c>
      <c r="X842" s="190"/>
    </row>
    <row r="843" spans="1:24" s="186" customFormat="1" ht="21.75" customHeight="1">
      <c r="A843" s="10">
        <f t="shared" si="173"/>
        <v>652</v>
      </c>
      <c r="B843" s="188" t="s">
        <v>550</v>
      </c>
      <c r="C843" s="92">
        <v>1962</v>
      </c>
      <c r="D843" s="92"/>
      <c r="E843" s="92" t="s">
        <v>94</v>
      </c>
      <c r="F843" s="92">
        <v>2</v>
      </c>
      <c r="G843" s="92">
        <v>2</v>
      </c>
      <c r="H843" s="86">
        <v>519.21</v>
      </c>
      <c r="I843" s="86">
        <v>444.8</v>
      </c>
      <c r="J843" s="86">
        <v>144</v>
      </c>
      <c r="K843" s="10">
        <v>22</v>
      </c>
      <c r="L843" s="97">
        <f>'виды работ  (2)'!C842</f>
        <v>1600000</v>
      </c>
      <c r="M843" s="97">
        <v>0</v>
      </c>
      <c r="N843" s="97">
        <v>0</v>
      </c>
      <c r="O843" s="97">
        <v>0</v>
      </c>
      <c r="P843" s="97">
        <f t="shared" si="174"/>
        <v>1600000</v>
      </c>
      <c r="Q843" s="97">
        <f t="shared" si="175"/>
        <v>3081.604745671308</v>
      </c>
      <c r="R843" s="97">
        <v>42000</v>
      </c>
      <c r="S843" s="55" t="s">
        <v>843</v>
      </c>
      <c r="T843" s="92" t="s">
        <v>773</v>
      </c>
      <c r="X843" s="190"/>
    </row>
    <row r="844" spans="1:24" s="186" customFormat="1" ht="21.75" customHeight="1">
      <c r="A844" s="10">
        <f t="shared" si="173"/>
        <v>653</v>
      </c>
      <c r="B844" s="188" t="s">
        <v>555</v>
      </c>
      <c r="C844" s="92">
        <v>1967</v>
      </c>
      <c r="D844" s="92"/>
      <c r="E844" s="92" t="s">
        <v>94</v>
      </c>
      <c r="F844" s="92">
        <v>2</v>
      </c>
      <c r="G844" s="92">
        <v>2</v>
      </c>
      <c r="H844" s="86">
        <v>681.47</v>
      </c>
      <c r="I844" s="86">
        <v>622.97</v>
      </c>
      <c r="J844" s="86">
        <v>255.37</v>
      </c>
      <c r="K844" s="10">
        <v>38</v>
      </c>
      <c r="L844" s="97">
        <f>'виды работ  (2)'!C843</f>
        <v>800000</v>
      </c>
      <c r="M844" s="97">
        <v>0</v>
      </c>
      <c r="N844" s="97">
        <v>0</v>
      </c>
      <c r="O844" s="97">
        <v>0</v>
      </c>
      <c r="P844" s="97">
        <f t="shared" si="174"/>
        <v>800000</v>
      </c>
      <c r="Q844" s="97">
        <f t="shared" si="175"/>
        <v>1173.9328216942786</v>
      </c>
      <c r="R844" s="97">
        <v>42000</v>
      </c>
      <c r="S844" s="55" t="s">
        <v>843</v>
      </c>
      <c r="T844" s="92" t="s">
        <v>773</v>
      </c>
      <c r="X844" s="190"/>
    </row>
    <row r="845" spans="1:24" s="186" customFormat="1" ht="21.75" customHeight="1">
      <c r="A845" s="10">
        <f t="shared" si="173"/>
        <v>654</v>
      </c>
      <c r="B845" s="188" t="s">
        <v>558</v>
      </c>
      <c r="C845" s="92">
        <v>1968</v>
      </c>
      <c r="D845" s="92"/>
      <c r="E845" s="92" t="s">
        <v>94</v>
      </c>
      <c r="F845" s="92">
        <v>2</v>
      </c>
      <c r="G845" s="92">
        <v>2</v>
      </c>
      <c r="H845" s="86">
        <v>654.4</v>
      </c>
      <c r="I845" s="86">
        <v>618.4</v>
      </c>
      <c r="J845" s="86">
        <v>433.9</v>
      </c>
      <c r="K845" s="10">
        <v>39</v>
      </c>
      <c r="L845" s="97">
        <f>'виды работ  (2)'!C844</f>
        <v>800000</v>
      </c>
      <c r="M845" s="97">
        <v>0</v>
      </c>
      <c r="N845" s="97">
        <v>0</v>
      </c>
      <c r="O845" s="97">
        <v>0</v>
      </c>
      <c r="P845" s="97">
        <f t="shared" si="174"/>
        <v>800000</v>
      </c>
      <c r="Q845" s="97">
        <f t="shared" si="175"/>
        <v>1222.4938875305625</v>
      </c>
      <c r="R845" s="97">
        <v>42000</v>
      </c>
      <c r="S845" s="55" t="s">
        <v>843</v>
      </c>
      <c r="T845" s="92" t="s">
        <v>773</v>
      </c>
      <c r="X845" s="190"/>
    </row>
    <row r="846" spans="1:24" s="186" customFormat="1" ht="21.75" customHeight="1">
      <c r="A846" s="10">
        <f t="shared" si="173"/>
        <v>655</v>
      </c>
      <c r="B846" s="188" t="s">
        <v>557</v>
      </c>
      <c r="C846" s="92">
        <v>1968</v>
      </c>
      <c r="D846" s="92"/>
      <c r="E846" s="92" t="s">
        <v>94</v>
      </c>
      <c r="F846" s="92">
        <v>2</v>
      </c>
      <c r="G846" s="92">
        <v>2</v>
      </c>
      <c r="H846" s="86">
        <v>798.2</v>
      </c>
      <c r="I846" s="86">
        <v>733.3</v>
      </c>
      <c r="J846" s="86">
        <v>371.42</v>
      </c>
      <c r="K846" s="10">
        <v>41</v>
      </c>
      <c r="L846" s="97">
        <f>'виды работ  (2)'!C845</f>
        <v>917187</v>
      </c>
      <c r="M846" s="97">
        <v>0</v>
      </c>
      <c r="N846" s="97">
        <v>0</v>
      </c>
      <c r="O846" s="97">
        <v>0</v>
      </c>
      <c r="P846" s="97">
        <f t="shared" si="174"/>
        <v>917187</v>
      </c>
      <c r="Q846" s="97">
        <f t="shared" si="175"/>
        <v>1149.0691556001002</v>
      </c>
      <c r="R846" s="97">
        <v>42000</v>
      </c>
      <c r="S846" s="55" t="s">
        <v>843</v>
      </c>
      <c r="T846" s="92" t="s">
        <v>773</v>
      </c>
      <c r="X846" s="190"/>
    </row>
    <row r="847" spans="1:24" s="186" customFormat="1" ht="21.75" customHeight="1">
      <c r="A847" s="10">
        <f t="shared" si="173"/>
        <v>656</v>
      </c>
      <c r="B847" s="48" t="s">
        <v>841</v>
      </c>
      <c r="C847" s="92">
        <v>1985</v>
      </c>
      <c r="D847" s="92"/>
      <c r="E847" s="92" t="s">
        <v>94</v>
      </c>
      <c r="F847" s="92">
        <v>3</v>
      </c>
      <c r="G847" s="92">
        <v>1</v>
      </c>
      <c r="H847" s="91">
        <v>1581</v>
      </c>
      <c r="I847" s="91">
        <v>1549.2</v>
      </c>
      <c r="J847" s="92">
        <v>165.86</v>
      </c>
      <c r="K847" s="8">
        <v>128</v>
      </c>
      <c r="L847" s="97">
        <f>'виды работ  (2)'!C846</f>
        <v>600000</v>
      </c>
      <c r="M847" s="97">
        <v>0</v>
      </c>
      <c r="N847" s="97">
        <v>0</v>
      </c>
      <c r="O847" s="97">
        <v>0</v>
      </c>
      <c r="P847" s="97">
        <f t="shared" si="174"/>
        <v>600000</v>
      </c>
      <c r="Q847" s="97">
        <f t="shared" si="175"/>
        <v>379.5066413662239</v>
      </c>
      <c r="R847" s="97">
        <v>42000</v>
      </c>
      <c r="S847" s="55" t="s">
        <v>843</v>
      </c>
      <c r="T847" s="92" t="s">
        <v>773</v>
      </c>
      <c r="X847" s="190"/>
    </row>
    <row r="848" spans="1:24" s="186" customFormat="1" ht="21.75" customHeight="1">
      <c r="A848" s="10">
        <f t="shared" si="173"/>
        <v>657</v>
      </c>
      <c r="B848" s="53" t="s">
        <v>559</v>
      </c>
      <c r="C848" s="92">
        <v>1962</v>
      </c>
      <c r="D848" s="92"/>
      <c r="E848" s="92" t="s">
        <v>94</v>
      </c>
      <c r="F848" s="92">
        <v>2</v>
      </c>
      <c r="G848" s="92">
        <v>2</v>
      </c>
      <c r="H848" s="91">
        <v>666.66</v>
      </c>
      <c r="I848" s="91">
        <v>634.66</v>
      </c>
      <c r="J848" s="92">
        <v>434.66</v>
      </c>
      <c r="K848" s="8">
        <v>44</v>
      </c>
      <c r="L848" s="97">
        <f>'виды работ  (2)'!C847</f>
        <v>604050</v>
      </c>
      <c r="M848" s="97">
        <v>0</v>
      </c>
      <c r="N848" s="97">
        <v>0</v>
      </c>
      <c r="O848" s="97">
        <v>0</v>
      </c>
      <c r="P848" s="97">
        <f t="shared" si="174"/>
        <v>604050</v>
      </c>
      <c r="Q848" s="97">
        <f t="shared" si="175"/>
        <v>906.0840608406085</v>
      </c>
      <c r="R848" s="97">
        <v>42000</v>
      </c>
      <c r="S848" s="55" t="s">
        <v>843</v>
      </c>
      <c r="T848" s="92" t="s">
        <v>773</v>
      </c>
      <c r="X848" s="190"/>
    </row>
    <row r="849" spans="1:24" s="186" customFormat="1" ht="21.75" customHeight="1">
      <c r="A849" s="10">
        <f t="shared" si="173"/>
        <v>658</v>
      </c>
      <c r="B849" s="53" t="s">
        <v>560</v>
      </c>
      <c r="C849" s="92">
        <v>1962</v>
      </c>
      <c r="D849" s="92"/>
      <c r="E849" s="92" t="s">
        <v>94</v>
      </c>
      <c r="F849" s="92">
        <v>2</v>
      </c>
      <c r="G849" s="92">
        <v>2</v>
      </c>
      <c r="H849" s="91">
        <v>670.31</v>
      </c>
      <c r="I849" s="91">
        <v>638.31</v>
      </c>
      <c r="J849" s="92">
        <v>638.31</v>
      </c>
      <c r="K849" s="8">
        <v>43</v>
      </c>
      <c r="L849" s="97">
        <f>'виды работ  (2)'!C848</f>
        <v>609698</v>
      </c>
      <c r="M849" s="97">
        <v>0</v>
      </c>
      <c r="N849" s="97">
        <v>0</v>
      </c>
      <c r="O849" s="97">
        <v>0</v>
      </c>
      <c r="P849" s="97">
        <f t="shared" si="174"/>
        <v>609698</v>
      </c>
      <c r="Q849" s="97">
        <f t="shared" si="175"/>
        <v>909.576166251436</v>
      </c>
      <c r="R849" s="97">
        <v>42000</v>
      </c>
      <c r="S849" s="55" t="s">
        <v>843</v>
      </c>
      <c r="T849" s="92" t="s">
        <v>773</v>
      </c>
      <c r="X849" s="190"/>
    </row>
    <row r="850" spans="1:24" s="186" customFormat="1" ht="21.75" customHeight="1">
      <c r="A850" s="10">
        <f t="shared" si="173"/>
        <v>659</v>
      </c>
      <c r="B850" s="53" t="s">
        <v>561</v>
      </c>
      <c r="C850" s="92">
        <v>1964</v>
      </c>
      <c r="D850" s="92"/>
      <c r="E850" s="92" t="s">
        <v>94</v>
      </c>
      <c r="F850" s="92">
        <v>2</v>
      </c>
      <c r="G850" s="92">
        <v>2</v>
      </c>
      <c r="H850" s="91">
        <v>643.94</v>
      </c>
      <c r="I850" s="91">
        <v>611.94</v>
      </c>
      <c r="J850" s="92">
        <v>489.17</v>
      </c>
      <c r="K850" s="8">
        <v>29</v>
      </c>
      <c r="L850" s="97">
        <f>'виды работ  (2)'!C849</f>
        <v>608138</v>
      </c>
      <c r="M850" s="97">
        <v>0</v>
      </c>
      <c r="N850" s="97">
        <v>0</v>
      </c>
      <c r="O850" s="97">
        <v>0</v>
      </c>
      <c r="P850" s="97">
        <f t="shared" si="174"/>
        <v>608138</v>
      </c>
      <c r="Q850" s="97">
        <f t="shared" si="175"/>
        <v>944.4016523278566</v>
      </c>
      <c r="R850" s="97">
        <v>42000</v>
      </c>
      <c r="S850" s="55" t="s">
        <v>843</v>
      </c>
      <c r="T850" s="92" t="s">
        <v>773</v>
      </c>
      <c r="X850" s="190"/>
    </row>
    <row r="851" spans="1:24" s="186" customFormat="1" ht="21.75" customHeight="1">
      <c r="A851" s="10">
        <f t="shared" si="173"/>
        <v>660</v>
      </c>
      <c r="B851" s="48" t="s">
        <v>562</v>
      </c>
      <c r="C851" s="92">
        <v>1970</v>
      </c>
      <c r="D851" s="92"/>
      <c r="E851" s="92" t="s">
        <v>94</v>
      </c>
      <c r="F851" s="92">
        <v>5</v>
      </c>
      <c r="G851" s="92">
        <v>5</v>
      </c>
      <c r="H851" s="91">
        <v>4814.37</v>
      </c>
      <c r="I851" s="91">
        <v>4402.37</v>
      </c>
      <c r="J851" s="92">
        <v>3492.22</v>
      </c>
      <c r="K851" s="8">
        <v>128</v>
      </c>
      <c r="L851" s="97">
        <f>'виды работ  (2)'!C850</f>
        <v>1000000</v>
      </c>
      <c r="M851" s="97">
        <v>0</v>
      </c>
      <c r="N851" s="97">
        <v>0</v>
      </c>
      <c r="O851" s="97">
        <v>0</v>
      </c>
      <c r="P851" s="97">
        <f t="shared" si="174"/>
        <v>1000000</v>
      </c>
      <c r="Q851" s="97">
        <f t="shared" si="175"/>
        <v>207.7114970390726</v>
      </c>
      <c r="R851" s="97">
        <v>42000</v>
      </c>
      <c r="S851" s="55" t="s">
        <v>843</v>
      </c>
      <c r="T851" s="92" t="s">
        <v>773</v>
      </c>
      <c r="X851" s="190"/>
    </row>
    <row r="852" spans="1:24" s="186" customFormat="1" ht="21.75" customHeight="1">
      <c r="A852" s="10">
        <f t="shared" si="173"/>
        <v>661</v>
      </c>
      <c r="B852" s="53" t="s">
        <v>840</v>
      </c>
      <c r="C852" s="92">
        <v>1956</v>
      </c>
      <c r="D852" s="92"/>
      <c r="E852" s="92" t="s">
        <v>94</v>
      </c>
      <c r="F852" s="92">
        <v>2</v>
      </c>
      <c r="G852" s="92">
        <v>2</v>
      </c>
      <c r="H852" s="91">
        <v>691.55</v>
      </c>
      <c r="I852" s="91">
        <v>663.55</v>
      </c>
      <c r="J852" s="92">
        <v>271.15</v>
      </c>
      <c r="K852" s="8">
        <v>39</v>
      </c>
      <c r="L852" s="97">
        <f>'виды работ  (2)'!C851</f>
        <v>800000</v>
      </c>
      <c r="M852" s="97">
        <v>0</v>
      </c>
      <c r="N852" s="97">
        <v>0</v>
      </c>
      <c r="O852" s="97">
        <v>0</v>
      </c>
      <c r="P852" s="97">
        <f t="shared" si="174"/>
        <v>800000</v>
      </c>
      <c r="Q852" s="97">
        <f t="shared" si="175"/>
        <v>1156.821632564529</v>
      </c>
      <c r="R852" s="97">
        <v>42000</v>
      </c>
      <c r="S852" s="55" t="s">
        <v>843</v>
      </c>
      <c r="T852" s="92" t="s">
        <v>773</v>
      </c>
      <c r="X852" s="190"/>
    </row>
    <row r="853" spans="1:24" s="186" customFormat="1" ht="15">
      <c r="A853" s="117" t="s">
        <v>597</v>
      </c>
      <c r="B853" s="117"/>
      <c r="C853" s="86" t="s">
        <v>430</v>
      </c>
      <c r="D853" s="86" t="s">
        <v>430</v>
      </c>
      <c r="E853" s="86" t="s">
        <v>430</v>
      </c>
      <c r="F853" s="86" t="s">
        <v>430</v>
      </c>
      <c r="G853" s="86" t="s">
        <v>430</v>
      </c>
      <c r="H853" s="97">
        <f aca="true" t="shared" si="176" ref="H853:P853">SUM(H838:H852)</f>
        <v>27597.190000000002</v>
      </c>
      <c r="I853" s="97">
        <f t="shared" si="176"/>
        <v>24687.279999999995</v>
      </c>
      <c r="J853" s="97">
        <f t="shared" si="176"/>
        <v>18937.58</v>
      </c>
      <c r="K853" s="96">
        <f t="shared" si="176"/>
        <v>1249</v>
      </c>
      <c r="L853" s="97">
        <f t="shared" si="176"/>
        <v>27653751</v>
      </c>
      <c r="M853" s="97">
        <f t="shared" si="176"/>
        <v>0</v>
      </c>
      <c r="N853" s="97">
        <f t="shared" si="176"/>
        <v>0</v>
      </c>
      <c r="O853" s="97">
        <f t="shared" si="176"/>
        <v>0</v>
      </c>
      <c r="P853" s="97">
        <f t="shared" si="176"/>
        <v>27653751</v>
      </c>
      <c r="Q853" s="97">
        <f t="shared" si="175"/>
        <v>1002.0495202591278</v>
      </c>
      <c r="R853" s="56" t="s">
        <v>430</v>
      </c>
      <c r="S853" s="56" t="s">
        <v>430</v>
      </c>
      <c r="T853" s="56" t="s">
        <v>430</v>
      </c>
      <c r="U853" s="190"/>
      <c r="X853" s="190"/>
    </row>
    <row r="854" spans="1:24" s="186" customFormat="1" ht="15">
      <c r="A854" s="105" t="s">
        <v>699</v>
      </c>
      <c r="B854" s="110"/>
      <c r="C854" s="110"/>
      <c r="D854" s="110"/>
      <c r="E854" s="106"/>
      <c r="F854" s="178"/>
      <c r="G854" s="178"/>
      <c r="H854" s="178"/>
      <c r="I854" s="178"/>
      <c r="J854" s="178"/>
      <c r="K854" s="178"/>
      <c r="L854" s="178"/>
      <c r="M854" s="178"/>
      <c r="N854" s="178"/>
      <c r="O854" s="178"/>
      <c r="P854" s="178"/>
      <c r="Q854" s="178"/>
      <c r="R854" s="178"/>
      <c r="S854" s="178"/>
      <c r="T854" s="178"/>
      <c r="X854" s="190"/>
    </row>
    <row r="855" spans="1:24" s="186" customFormat="1" ht="15">
      <c r="A855" s="10">
        <f>A852+1</f>
        <v>662</v>
      </c>
      <c r="B855" s="188" t="s">
        <v>570</v>
      </c>
      <c r="C855" s="92">
        <v>1968</v>
      </c>
      <c r="D855" s="95"/>
      <c r="E855" s="92" t="s">
        <v>94</v>
      </c>
      <c r="F855" s="95">
        <v>2</v>
      </c>
      <c r="G855" s="95">
        <v>2</v>
      </c>
      <c r="H855" s="97">
        <v>562.5</v>
      </c>
      <c r="I855" s="97">
        <v>512.6</v>
      </c>
      <c r="J855" s="97">
        <v>172.6</v>
      </c>
      <c r="K855" s="96">
        <v>31</v>
      </c>
      <c r="L855" s="97">
        <f>'виды работ  (2)'!C854</f>
        <v>1958951</v>
      </c>
      <c r="M855" s="97">
        <v>0</v>
      </c>
      <c r="N855" s="97">
        <v>0</v>
      </c>
      <c r="O855" s="97">
        <v>0</v>
      </c>
      <c r="P855" s="97">
        <f>L855</f>
        <v>1958951</v>
      </c>
      <c r="Q855" s="97">
        <f>L855/H855</f>
        <v>3482.5795555555555</v>
      </c>
      <c r="R855" s="97">
        <v>42000</v>
      </c>
      <c r="S855" s="55" t="s">
        <v>843</v>
      </c>
      <c r="T855" s="92" t="s">
        <v>773</v>
      </c>
      <c r="X855" s="190"/>
    </row>
    <row r="856" spans="1:24" s="186" customFormat="1" ht="21" customHeight="1">
      <c r="A856" s="117" t="s">
        <v>597</v>
      </c>
      <c r="B856" s="117"/>
      <c r="C856" s="86" t="s">
        <v>430</v>
      </c>
      <c r="D856" s="86" t="s">
        <v>430</v>
      </c>
      <c r="E856" s="86" t="s">
        <v>430</v>
      </c>
      <c r="F856" s="86" t="s">
        <v>430</v>
      </c>
      <c r="G856" s="86" t="s">
        <v>430</v>
      </c>
      <c r="H856" s="97">
        <f>SUM(H855)</f>
        <v>562.5</v>
      </c>
      <c r="I856" s="97">
        <f aca="true" t="shared" si="177" ref="I856:P856">SUM(I855)</f>
        <v>512.6</v>
      </c>
      <c r="J856" s="97">
        <f t="shared" si="177"/>
        <v>172.6</v>
      </c>
      <c r="K856" s="96">
        <f t="shared" si="177"/>
        <v>31</v>
      </c>
      <c r="L856" s="97">
        <f t="shared" si="177"/>
        <v>1958951</v>
      </c>
      <c r="M856" s="97">
        <f t="shared" si="177"/>
        <v>0</v>
      </c>
      <c r="N856" s="97">
        <f t="shared" si="177"/>
        <v>0</v>
      </c>
      <c r="O856" s="97">
        <f t="shared" si="177"/>
        <v>0</v>
      </c>
      <c r="P856" s="97">
        <f t="shared" si="177"/>
        <v>1958951</v>
      </c>
      <c r="Q856" s="97">
        <f>L856/H856</f>
        <v>3482.5795555555555</v>
      </c>
      <c r="R856" s="56" t="s">
        <v>430</v>
      </c>
      <c r="S856" s="56" t="s">
        <v>430</v>
      </c>
      <c r="T856" s="56" t="s">
        <v>430</v>
      </c>
      <c r="U856" s="190"/>
      <c r="X856" s="190"/>
    </row>
    <row r="857" spans="1:24" s="43" customFormat="1" ht="18" customHeight="1">
      <c r="A857" s="140" t="s">
        <v>770</v>
      </c>
      <c r="B857" s="140"/>
      <c r="C857" s="140"/>
      <c r="D857" s="140"/>
      <c r="E857" s="140"/>
      <c r="F857" s="169"/>
      <c r="G857" s="169"/>
      <c r="H857" s="169"/>
      <c r="I857" s="169"/>
      <c r="J857" s="169"/>
      <c r="K857" s="169"/>
      <c r="L857" s="169"/>
      <c r="M857" s="169"/>
      <c r="N857" s="169"/>
      <c r="O857" s="169"/>
      <c r="P857" s="169"/>
      <c r="Q857" s="169"/>
      <c r="R857" s="169"/>
      <c r="S857" s="169"/>
      <c r="T857" s="169"/>
      <c r="X857" s="190"/>
    </row>
    <row r="858" spans="1:24" s="43" customFormat="1" ht="15">
      <c r="A858" s="96">
        <f>A855+1</f>
        <v>663</v>
      </c>
      <c r="B858" s="88" t="s">
        <v>771</v>
      </c>
      <c r="C858" s="72">
        <v>1955</v>
      </c>
      <c r="D858" s="97"/>
      <c r="E858" s="92" t="s">
        <v>700</v>
      </c>
      <c r="F858" s="96">
        <v>2</v>
      </c>
      <c r="G858" s="96">
        <v>1</v>
      </c>
      <c r="H858" s="97">
        <v>389.3</v>
      </c>
      <c r="I858" s="97">
        <v>266.9</v>
      </c>
      <c r="J858" s="97">
        <v>53.8</v>
      </c>
      <c r="K858" s="96">
        <v>19</v>
      </c>
      <c r="L858" s="97">
        <f>'виды работ  (2)'!C857</f>
        <v>7422001</v>
      </c>
      <c r="M858" s="86">
        <v>0</v>
      </c>
      <c r="N858" s="86">
        <v>0</v>
      </c>
      <c r="O858" s="86">
        <v>0</v>
      </c>
      <c r="P858" s="97">
        <f>L858</f>
        <v>7422001</v>
      </c>
      <c r="Q858" s="86">
        <f>L858/H858</f>
        <v>19064.99100950424</v>
      </c>
      <c r="R858" s="97">
        <v>42000</v>
      </c>
      <c r="S858" s="55" t="s">
        <v>843</v>
      </c>
      <c r="T858" s="92" t="s">
        <v>773</v>
      </c>
      <c r="X858" s="190"/>
    </row>
    <row r="859" spans="1:24" s="43" customFormat="1" ht="15">
      <c r="A859" s="117" t="s">
        <v>597</v>
      </c>
      <c r="B859" s="117"/>
      <c r="C859" s="86" t="s">
        <v>430</v>
      </c>
      <c r="D859" s="86" t="s">
        <v>430</v>
      </c>
      <c r="E859" s="86" t="s">
        <v>430</v>
      </c>
      <c r="F859" s="86" t="s">
        <v>430</v>
      </c>
      <c r="G859" s="86" t="s">
        <v>430</v>
      </c>
      <c r="H859" s="97">
        <f>SUM(H858)</f>
        <v>389.3</v>
      </c>
      <c r="I859" s="97">
        <f aca="true" t="shared" si="178" ref="I859:P859">SUM(I858)</f>
        <v>266.9</v>
      </c>
      <c r="J859" s="97">
        <f t="shared" si="178"/>
        <v>53.8</v>
      </c>
      <c r="K859" s="96">
        <f t="shared" si="178"/>
        <v>19</v>
      </c>
      <c r="L859" s="97">
        <f t="shared" si="178"/>
        <v>7422001</v>
      </c>
      <c r="M859" s="97">
        <f t="shared" si="178"/>
        <v>0</v>
      </c>
      <c r="N859" s="97">
        <f t="shared" si="178"/>
        <v>0</v>
      </c>
      <c r="O859" s="97">
        <f t="shared" si="178"/>
        <v>0</v>
      </c>
      <c r="P859" s="97">
        <f t="shared" si="178"/>
        <v>7422001</v>
      </c>
      <c r="Q859" s="86">
        <f>L859/H859</f>
        <v>19064.99100950424</v>
      </c>
      <c r="R859" s="56" t="s">
        <v>430</v>
      </c>
      <c r="S859" s="56" t="s">
        <v>430</v>
      </c>
      <c r="T859" s="56" t="s">
        <v>430</v>
      </c>
      <c r="U859" s="190"/>
      <c r="X859" s="190"/>
    </row>
    <row r="860" spans="1:24" s="186" customFormat="1" ht="15">
      <c r="A860" s="140" t="s">
        <v>670</v>
      </c>
      <c r="B860" s="140"/>
      <c r="C860" s="140"/>
      <c r="D860" s="81" t="s">
        <v>430</v>
      </c>
      <c r="E860" s="81" t="s">
        <v>430</v>
      </c>
      <c r="F860" s="81" t="s">
        <v>430</v>
      </c>
      <c r="G860" s="81" t="s">
        <v>430</v>
      </c>
      <c r="H860" s="97">
        <f aca="true" t="shared" si="179" ref="H860:P860">H856+H836+H833+H853+H859+H825</f>
        <v>53385.920000000006</v>
      </c>
      <c r="I860" s="97">
        <f t="shared" si="179"/>
        <v>50190.56</v>
      </c>
      <c r="J860" s="97">
        <f t="shared" si="179"/>
        <v>40404.96</v>
      </c>
      <c r="K860" s="96">
        <f t="shared" si="179"/>
        <v>2520</v>
      </c>
      <c r="L860" s="97">
        <f t="shared" si="179"/>
        <v>47904263</v>
      </c>
      <c r="M860" s="97">
        <f t="shared" si="179"/>
        <v>0</v>
      </c>
      <c r="N860" s="97">
        <f t="shared" si="179"/>
        <v>0</v>
      </c>
      <c r="O860" s="97">
        <f t="shared" si="179"/>
        <v>0</v>
      </c>
      <c r="P860" s="97">
        <f t="shared" si="179"/>
        <v>47904263</v>
      </c>
      <c r="Q860" s="97">
        <f>L860/H860</f>
        <v>897.3201735588708</v>
      </c>
      <c r="R860" s="56" t="s">
        <v>430</v>
      </c>
      <c r="S860" s="56" t="s">
        <v>430</v>
      </c>
      <c r="T860" s="56" t="s">
        <v>430</v>
      </c>
      <c r="U860" s="190"/>
      <c r="X860" s="190"/>
    </row>
    <row r="861" spans="1:24" s="186" customFormat="1" ht="15">
      <c r="A861" s="132" t="s">
        <v>671</v>
      </c>
      <c r="B861" s="132"/>
      <c r="C861" s="86" t="s">
        <v>430</v>
      </c>
      <c r="D861" s="86" t="s">
        <v>430</v>
      </c>
      <c r="E861" s="86" t="s">
        <v>430</v>
      </c>
      <c r="F861" s="86" t="s">
        <v>430</v>
      </c>
      <c r="G861" s="86" t="s">
        <v>430</v>
      </c>
      <c r="H861" s="97">
        <f aca="true" t="shared" si="180" ref="H861:P861">H860+H821+H730+H696+H651+H621+H610+H564+H527+H492+H402+H364+H343+H281+H226+H187+H72+H47</f>
        <v>1410122.965</v>
      </c>
      <c r="I861" s="97">
        <f t="shared" si="180"/>
        <v>1176946.8599999996</v>
      </c>
      <c r="J861" s="97">
        <f t="shared" si="180"/>
        <v>965810.6400000002</v>
      </c>
      <c r="K861" s="96">
        <f t="shared" si="180"/>
        <v>56772</v>
      </c>
      <c r="L861" s="97">
        <f t="shared" si="180"/>
        <v>1378408438</v>
      </c>
      <c r="M861" s="97">
        <f t="shared" si="180"/>
        <v>0</v>
      </c>
      <c r="N861" s="97">
        <f t="shared" si="180"/>
        <v>0</v>
      </c>
      <c r="O861" s="97">
        <f t="shared" si="180"/>
        <v>0</v>
      </c>
      <c r="P861" s="97">
        <f t="shared" si="180"/>
        <v>1378408438</v>
      </c>
      <c r="Q861" s="97">
        <f>L861/H861</f>
        <v>977.5093890482096</v>
      </c>
      <c r="R861" s="56" t="s">
        <v>430</v>
      </c>
      <c r="S861" s="56" t="s">
        <v>430</v>
      </c>
      <c r="T861" s="56" t="s">
        <v>430</v>
      </c>
      <c r="U861" s="190"/>
      <c r="X861" s="190"/>
    </row>
    <row r="862" spans="1:24" s="186" customFormat="1" ht="15">
      <c r="A862" s="124" t="s">
        <v>844</v>
      </c>
      <c r="B862" s="125"/>
      <c r="C862" s="126"/>
      <c r="D862" s="86" t="s">
        <v>430</v>
      </c>
      <c r="E862" s="86" t="s">
        <v>430</v>
      </c>
      <c r="F862" s="86" t="s">
        <v>430</v>
      </c>
      <c r="G862" s="86" t="s">
        <v>430</v>
      </c>
      <c r="H862" s="97">
        <f>H861+H822+H731+H697+H652+H622+H611+H565+H528+H493+H403+H365+H344+H282+H227+H188+H73+H48</f>
        <v>1410122.965</v>
      </c>
      <c r="I862" s="97">
        <f>I861+I822+I731+I697+I652+I622+I611+I565+I528+I493+I403+I365+I344+I282+I227+I188+I73+I48</f>
        <v>1176946.8599999996</v>
      </c>
      <c r="J862" s="97">
        <f>J861+J822+J731+J697+J652+J622+J611+J565+J528+J493+J403+J365+J344+J282+J227+J188+J73+J48</f>
        <v>965810.6400000002</v>
      </c>
      <c r="K862" s="96">
        <f>K861+K822+K731+K697+K652+K622+K611+K565+K528+K493+K403+K365+K344+K282+K227+K188+K73+K48</f>
        <v>56772</v>
      </c>
      <c r="L862" s="97">
        <f>'виды работ  (2)'!C862</f>
        <v>1405335551</v>
      </c>
      <c r="M862" s="97">
        <f>M861+M822+M731+M697+M652+M622+M611+M565+M528+M493+M403+M365+M344+M282+M227+M188+M73+M48</f>
        <v>0</v>
      </c>
      <c r="N862" s="97">
        <f>N861+N822+N731+N697+N652+N622+N611+N565+N528+N493+N403+N365+N344+N282+N227+N188+N73+N48</f>
        <v>0</v>
      </c>
      <c r="O862" s="97">
        <f>O861+O822+O731+O697+O652+O622+O611+O565+O528+O493+O403+O365+O344+O282+O227+O188+O73+O48</f>
        <v>0</v>
      </c>
      <c r="P862" s="97">
        <f>L862</f>
        <v>1405335551</v>
      </c>
      <c r="Q862" s="97">
        <f>L862/H862</f>
        <v>996.6049670001651</v>
      </c>
      <c r="R862" s="56" t="s">
        <v>430</v>
      </c>
      <c r="S862" s="56" t="s">
        <v>430</v>
      </c>
      <c r="T862" s="56" t="s">
        <v>430</v>
      </c>
      <c r="X862" s="190"/>
    </row>
    <row r="863" s="186" customFormat="1" ht="15">
      <c r="C863" s="243"/>
    </row>
    <row r="864" s="186" customFormat="1" ht="15">
      <c r="C864" s="243"/>
    </row>
  </sheetData>
  <sheetProtection/>
  <mergeCells count="287">
    <mergeCell ref="A640:B640"/>
    <mergeCell ref="A856:B856"/>
    <mergeCell ref="A860:C860"/>
    <mergeCell ref="A861:B861"/>
    <mergeCell ref="A853:B853"/>
    <mergeCell ref="A833:B833"/>
    <mergeCell ref="A857:E857"/>
    <mergeCell ref="A697:T697"/>
    <mergeCell ref="F659:T659"/>
    <mergeCell ref="F826:T826"/>
    <mergeCell ref="A821:C821"/>
    <mergeCell ref="A646:B646"/>
    <mergeCell ref="A826:E826"/>
    <mergeCell ref="A837:E837"/>
    <mergeCell ref="F837:T837"/>
    <mergeCell ref="A834:E834"/>
    <mergeCell ref="F834:T834"/>
    <mergeCell ref="A730:B730"/>
    <mergeCell ref="F656:T656"/>
    <mergeCell ref="F854:T854"/>
    <mergeCell ref="A836:B836"/>
    <mergeCell ref="F732:T732"/>
    <mergeCell ref="A805:B805"/>
    <mergeCell ref="A820:B820"/>
    <mergeCell ref="A731:T731"/>
    <mergeCell ref="A822:T822"/>
    <mergeCell ref="A806:E806"/>
    <mergeCell ref="A732:E732"/>
    <mergeCell ref="A854:E854"/>
    <mergeCell ref="A659:E659"/>
    <mergeCell ref="F823:T823"/>
    <mergeCell ref="F806:T806"/>
    <mergeCell ref="A535:E535"/>
    <mergeCell ref="A554:E554"/>
    <mergeCell ref="A558:E558"/>
    <mergeCell ref="A658:B658"/>
    <mergeCell ref="A696:C696"/>
    <mergeCell ref="A695:B695"/>
    <mergeCell ref="A566:E566"/>
    <mergeCell ref="A611:T611"/>
    <mergeCell ref="A580:E580"/>
    <mergeCell ref="F636:T636"/>
    <mergeCell ref="F630:T630"/>
    <mergeCell ref="A620:B620"/>
    <mergeCell ref="A629:B629"/>
    <mergeCell ref="A635:B635"/>
    <mergeCell ref="A610:C610"/>
    <mergeCell ref="A612:E612"/>
    <mergeCell ref="A534:B534"/>
    <mergeCell ref="A557:B557"/>
    <mergeCell ref="A553:B553"/>
    <mergeCell ref="A546:B546"/>
    <mergeCell ref="A541:B541"/>
    <mergeCell ref="A609:B609"/>
    <mergeCell ref="A606:B606"/>
    <mergeCell ref="A607:E607"/>
    <mergeCell ref="A584:E584"/>
    <mergeCell ref="A587:E587"/>
    <mergeCell ref="A603:B603"/>
    <mergeCell ref="A595:B595"/>
    <mergeCell ref="A547:E547"/>
    <mergeCell ref="F612:T612"/>
    <mergeCell ref="F623:T623"/>
    <mergeCell ref="F604:T604"/>
    <mergeCell ref="A604:E604"/>
    <mergeCell ref="F607:T607"/>
    <mergeCell ref="F596:T596"/>
    <mergeCell ref="F547:T547"/>
    <mergeCell ref="F460:T460"/>
    <mergeCell ref="A527:C527"/>
    <mergeCell ref="A494:E494"/>
    <mergeCell ref="F494:T494"/>
    <mergeCell ref="A569:B569"/>
    <mergeCell ref="A537:B537"/>
    <mergeCell ref="F538:T538"/>
    <mergeCell ref="A564:C564"/>
    <mergeCell ref="A538:E538"/>
    <mergeCell ref="A542:E542"/>
    <mergeCell ref="A529:E529"/>
    <mergeCell ref="A452:B452"/>
    <mergeCell ref="A459:B459"/>
    <mergeCell ref="A467:B467"/>
    <mergeCell ref="A491:B491"/>
    <mergeCell ref="A453:E453"/>
    <mergeCell ref="A492:C492"/>
    <mergeCell ref="A493:T493"/>
    <mergeCell ref="A526:B526"/>
    <mergeCell ref="A528:T528"/>
    <mergeCell ref="A98:E98"/>
    <mergeCell ref="A280:B280"/>
    <mergeCell ref="F283:T283"/>
    <mergeCell ref="A173:E173"/>
    <mergeCell ref="A267:B267"/>
    <mergeCell ref="A226:C226"/>
    <mergeCell ref="A220:B220"/>
    <mergeCell ref="F74:T74"/>
    <mergeCell ref="F98:T98"/>
    <mergeCell ref="F173:T173"/>
    <mergeCell ref="A199:B199"/>
    <mergeCell ref="A189:E189"/>
    <mergeCell ref="A84:E84"/>
    <mergeCell ref="A92:B92"/>
    <mergeCell ref="A187:C187"/>
    <mergeCell ref="F184:T184"/>
    <mergeCell ref="F93:T93"/>
    <mergeCell ref="A172:B172"/>
    <mergeCell ref="A259:B259"/>
    <mergeCell ref="F242:T242"/>
    <mergeCell ref="A227:T227"/>
    <mergeCell ref="A221:E221"/>
    <mergeCell ref="F221:T221"/>
    <mergeCell ref="A242:E242"/>
    <mergeCell ref="B188:T188"/>
    <mergeCell ref="A52:E52"/>
    <mergeCell ref="A56:E56"/>
    <mergeCell ref="A241:B241"/>
    <mergeCell ref="F200:T200"/>
    <mergeCell ref="F194:T194"/>
    <mergeCell ref="A74:E74"/>
    <mergeCell ref="F84:T84"/>
    <mergeCell ref="F189:T189"/>
    <mergeCell ref="A193:B193"/>
    <mergeCell ref="A194:E194"/>
    <mergeCell ref="A65:B65"/>
    <mergeCell ref="A69:E69"/>
    <mergeCell ref="A62:B62"/>
    <mergeCell ref="A68:B68"/>
    <mergeCell ref="A48:T48"/>
    <mergeCell ref="F66:T66"/>
    <mergeCell ref="F69:T69"/>
    <mergeCell ref="F52:T52"/>
    <mergeCell ref="F56:T56"/>
    <mergeCell ref="F59:T59"/>
    <mergeCell ref="A339:B339"/>
    <mergeCell ref="F289:T289"/>
    <mergeCell ref="F340:T340"/>
    <mergeCell ref="F428:T428"/>
    <mergeCell ref="A393:E393"/>
    <mergeCell ref="F393:T393"/>
    <mergeCell ref="A427:B427"/>
    <mergeCell ref="A343:C343"/>
    <mergeCell ref="A586:B586"/>
    <mergeCell ref="F566:T566"/>
    <mergeCell ref="A563:B563"/>
    <mergeCell ref="F535:T535"/>
    <mergeCell ref="F542:T542"/>
    <mergeCell ref="F554:T554"/>
    <mergeCell ref="F584:T584"/>
    <mergeCell ref="A583:B583"/>
    <mergeCell ref="A579:B579"/>
    <mergeCell ref="A570:E570"/>
    <mergeCell ref="A401:B401"/>
    <mergeCell ref="A450:E450"/>
    <mergeCell ref="F276:T276"/>
    <mergeCell ref="B344:T344"/>
    <mergeCell ref="A358:B358"/>
    <mergeCell ref="F570:T570"/>
    <mergeCell ref="F468:T468"/>
    <mergeCell ref="F445:T445"/>
    <mergeCell ref="F450:T450"/>
    <mergeCell ref="F345:T345"/>
    <mergeCell ref="A83:B83"/>
    <mergeCell ref="F529:T529"/>
    <mergeCell ref="A11:E11"/>
    <mergeCell ref="A10:T10"/>
    <mergeCell ref="A25:B25"/>
    <mergeCell ref="A49:E49"/>
    <mergeCell ref="A31:B31"/>
    <mergeCell ref="F37:T37"/>
    <mergeCell ref="A260:E260"/>
    <mergeCell ref="A359:E359"/>
    <mergeCell ref="A59:E59"/>
    <mergeCell ref="A58:B58"/>
    <mergeCell ref="A228:E228"/>
    <mergeCell ref="A66:E66"/>
    <mergeCell ref="A288:B288"/>
    <mergeCell ref="A340:E340"/>
    <mergeCell ref="A73:T73"/>
    <mergeCell ref="A275:B275"/>
    <mergeCell ref="F260:T260"/>
    <mergeCell ref="F88:T88"/>
    <mergeCell ref="A47:C47"/>
    <mergeCell ref="A51:B51"/>
    <mergeCell ref="A55:B55"/>
    <mergeCell ref="F49:T49"/>
    <mergeCell ref="I5:J5"/>
    <mergeCell ref="I6:I7"/>
    <mergeCell ref="H5:H7"/>
    <mergeCell ref="S5:S8"/>
    <mergeCell ref="A46:B46"/>
    <mergeCell ref="A32:E32"/>
    <mergeCell ref="A2:S2"/>
    <mergeCell ref="D3:Q3"/>
    <mergeCell ref="A5:A8"/>
    <mergeCell ref="B5:B8"/>
    <mergeCell ref="C5:D5"/>
    <mergeCell ref="R5:R7"/>
    <mergeCell ref="G5:G8"/>
    <mergeCell ref="D6:D8"/>
    <mergeCell ref="L5:P5"/>
    <mergeCell ref="A29:E29"/>
    <mergeCell ref="F11:T11"/>
    <mergeCell ref="A26:E26"/>
    <mergeCell ref="F26:T26"/>
    <mergeCell ref="L6:L7"/>
    <mergeCell ref="K5:K7"/>
    <mergeCell ref="T5:T8"/>
    <mergeCell ref="Q5:Q7"/>
    <mergeCell ref="F29:T29"/>
    <mergeCell ref="A28:B28"/>
    <mergeCell ref="C6:C8"/>
    <mergeCell ref="E5:E8"/>
    <mergeCell ref="A37:E37"/>
    <mergeCell ref="J6:J7"/>
    <mergeCell ref="F5:F8"/>
    <mergeCell ref="A36:B36"/>
    <mergeCell ref="F32:T32"/>
    <mergeCell ref="F857:T857"/>
    <mergeCell ref="A283:E283"/>
    <mergeCell ref="F641:T641"/>
    <mergeCell ref="A641:E641"/>
    <mergeCell ref="A825:B825"/>
    <mergeCell ref="F63:T63"/>
    <mergeCell ref="A63:E63"/>
    <mergeCell ref="A71:B71"/>
    <mergeCell ref="A72:C72"/>
    <mergeCell ref="F580:T580"/>
    <mergeCell ref="A651:C651"/>
    <mergeCell ref="F359:T359"/>
    <mergeCell ref="A276:E276"/>
    <mergeCell ref="A281:C281"/>
    <mergeCell ref="A268:E268"/>
    <mergeCell ref="A225:B225"/>
    <mergeCell ref="A342:B342"/>
    <mergeCell ref="A398:E398"/>
    <mergeCell ref="A392:B392"/>
    <mergeCell ref="F558:T558"/>
    <mergeCell ref="A403:T403"/>
    <mergeCell ref="A289:E289"/>
    <mergeCell ref="A655:B655"/>
    <mergeCell ref="A363:B363"/>
    <mergeCell ref="F398:T398"/>
    <mergeCell ref="A630:E630"/>
    <mergeCell ref="A636:E636"/>
    <mergeCell ref="A647:E647"/>
    <mergeCell ref="F647:T647"/>
    <mergeCell ref="A650:B650"/>
    <mergeCell ref="A184:E184"/>
    <mergeCell ref="A652:T652"/>
    <mergeCell ref="A656:E656"/>
    <mergeCell ref="F366:T366"/>
    <mergeCell ref="A623:E623"/>
    <mergeCell ref="A596:E596"/>
    <mergeCell ref="A366:E366"/>
    <mergeCell ref="A449:B449"/>
    <mergeCell ref="F404:T404"/>
    <mergeCell ref="A404:B404"/>
    <mergeCell ref="A460:E460"/>
    <mergeCell ref="F453:T453"/>
    <mergeCell ref="F587:T587"/>
    <mergeCell ref="A282:T282"/>
    <mergeCell ref="A88:E88"/>
    <mergeCell ref="A93:E93"/>
    <mergeCell ref="A200:E200"/>
    <mergeCell ref="A183:B183"/>
    <mergeCell ref="A186:B186"/>
    <mergeCell ref="A97:B97"/>
    <mergeCell ref="A653:E653"/>
    <mergeCell ref="F228:T228"/>
    <mergeCell ref="A87:B87"/>
    <mergeCell ref="A823:E823"/>
    <mergeCell ref="A621:C621"/>
    <mergeCell ref="A402:C402"/>
    <mergeCell ref="A444:B444"/>
    <mergeCell ref="A565:T565"/>
    <mergeCell ref="A428:E428"/>
    <mergeCell ref="A445:E445"/>
    <mergeCell ref="F653:T653"/>
    <mergeCell ref="A345:E345"/>
    <mergeCell ref="A862:C862"/>
    <mergeCell ref="F268:T268"/>
    <mergeCell ref="A622:T622"/>
    <mergeCell ref="A397:B397"/>
    <mergeCell ref="A364:C364"/>
    <mergeCell ref="B365:T365"/>
    <mergeCell ref="A468:E468"/>
    <mergeCell ref="A859:B859"/>
  </mergeCells>
  <printOptions horizontalCentered="1"/>
  <pageMargins left="0.15748031496062992" right="0.15748031496062992" top="0.35433070866141736" bottom="0.2362204724409449" header="0.15748031496062992" footer="0.15748031496062992"/>
  <pageSetup fitToHeight="10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2016-12-28T12:44:21Z</dcterms:modified>
  <cp:category/>
  <cp:version/>
  <cp:contentType/>
  <cp:contentStatus/>
</cp:coreProperties>
</file>